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RPA\Process\TA Reconciliation Process\Data\Input\Template\"/>
    </mc:Choice>
  </mc:AlternateContent>
  <xr:revisionPtr revIDLastSave="0" documentId="13_ncr:1_{BCF1D2BD-9BF8-4E5F-8557-9AF66436E1D7}" xr6:coauthVersionLast="47" xr6:coauthVersionMax="47" xr10:uidLastSave="{00000000-0000-0000-0000-000000000000}"/>
  <bookViews>
    <workbookView xWindow="-120" yWindow="-120" windowWidth="20730" windowHeight="11160" activeTab="1" xr2:uid="{8E5EADE6-941E-46F6-8B91-46D52073002F}"/>
  </bookViews>
  <sheets>
    <sheet name="May 22" sheetId="1" r:id="rId1"/>
    <sheet name="Center Balance" sheetId="2" r:id="rId2"/>
    <sheet name="GL007-Account Balance Inquiry B" sheetId="3" r:id="rId3"/>
    <sheet name="2022" sheetId="4" r:id="rId4"/>
  </sheets>
  <externalReferences>
    <externalReference r:id="rId5"/>
  </externalReferences>
  <definedNames>
    <definedName name="_xlnm._FilterDatabase" localSheetId="3" hidden="1">'2022'!$A$1:$AF$21</definedName>
    <definedName name="_xlnm._FilterDatabase" localSheetId="0" hidden="1">'May 22'!$A$8:$O$449</definedName>
  </definedNames>
  <calcPr calcId="191029"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51" i="1" l="1"/>
  <c r="C46" i="2"/>
  <c r="D46" i="2"/>
  <c r="C45" i="2"/>
  <c r="D45" i="2"/>
  <c r="M363" i="1"/>
  <c r="C44" i="2"/>
  <c r="D44" i="2"/>
  <c r="C43" i="2"/>
  <c r="D43" i="2"/>
  <c r="C42" i="2"/>
  <c r="D42" i="2"/>
  <c r="C41" i="2"/>
  <c r="D41" i="2"/>
  <c r="C40" i="2"/>
  <c r="D40" i="2"/>
  <c r="M200" i="1"/>
  <c r="M201" i="1"/>
  <c r="C39" i="2"/>
  <c r="D39" i="2"/>
  <c r="C38" i="2"/>
  <c r="D38" i="2"/>
  <c r="C37" i="2"/>
  <c r="D37" i="2"/>
  <c r="C36" i="2"/>
  <c r="D36" i="2"/>
  <c r="C35" i="2"/>
  <c r="D35" i="2"/>
  <c r="C34" i="2"/>
  <c r="D34" i="2"/>
  <c r="C33" i="2"/>
  <c r="D33" i="2"/>
  <c r="C32" i="2"/>
  <c r="D32" i="2"/>
  <c r="C31" i="2"/>
  <c r="D31" i="2"/>
  <c r="C30" i="2"/>
  <c r="D30" i="2"/>
  <c r="C29" i="2"/>
  <c r="D29" i="2"/>
  <c r="C28" i="2"/>
  <c r="D28" i="2"/>
  <c r="C27" i="2"/>
  <c r="D27" i="2"/>
  <c r="C26" i="2"/>
  <c r="D26" i="2"/>
  <c r="C25" i="2"/>
  <c r="D25" i="2"/>
  <c r="C24" i="2"/>
  <c r="D24" i="2"/>
  <c r="C23" i="2"/>
  <c r="D23" i="2"/>
  <c r="C22" i="2"/>
  <c r="D22" i="2"/>
  <c r="C21" i="2"/>
  <c r="D21" i="2"/>
  <c r="C20" i="2"/>
  <c r="D20" i="2"/>
  <c r="C19" i="2"/>
  <c r="D19" i="2"/>
  <c r="C18" i="2"/>
  <c r="D18" i="2"/>
  <c r="C17" i="2"/>
  <c r="D17" i="2"/>
  <c r="C16" i="2"/>
  <c r="D16" i="2"/>
  <c r="C15" i="2"/>
  <c r="D15" i="2"/>
  <c r="C14" i="2"/>
  <c r="D14" i="2"/>
  <c r="C13" i="2"/>
  <c r="D13" i="2"/>
  <c r="C12" i="2"/>
  <c r="D12" i="2"/>
  <c r="C11" i="2"/>
  <c r="D11" i="2"/>
  <c r="C10" i="2"/>
  <c r="D10" i="2"/>
  <c r="C9" i="2"/>
  <c r="D9" i="2"/>
  <c r="C8" i="2"/>
  <c r="D8" i="2"/>
  <c r="C7" i="2"/>
  <c r="D7" i="2"/>
  <c r="C6" i="2"/>
  <c r="D6" i="2"/>
  <c r="C5" i="2"/>
  <c r="D5" i="2"/>
  <c r="C4" i="2"/>
  <c r="D4" i="2"/>
  <c r="C3" i="2"/>
  <c r="D3" i="2"/>
  <c r="C2" i="2"/>
  <c r="D2" i="2"/>
  <c r="C47" i="2"/>
  <c r="M23" i="1"/>
  <c r="M24" i="1"/>
  <c r="M26" i="1"/>
  <c r="M28" i="1"/>
  <c r="M11" i="1"/>
  <c r="M13" i="1"/>
  <c r="M14" i="1"/>
  <c r="M15" i="1"/>
  <c r="M16" i="1"/>
  <c r="M17" i="1"/>
  <c r="M18" i="1"/>
  <c r="M21" i="1"/>
  <c r="M22" i="1"/>
  <c r="M29" i="1"/>
  <c r="M30" i="1"/>
  <c r="M32" i="1"/>
  <c r="M33" i="1"/>
  <c r="M35" i="1"/>
  <c r="M36" i="1"/>
  <c r="M37" i="1"/>
  <c r="M38" i="1"/>
  <c r="M39" i="1"/>
  <c r="M40" i="1"/>
  <c r="M42" i="1"/>
  <c r="M43" i="1"/>
  <c r="M44" i="1"/>
  <c r="M45" i="1"/>
  <c r="M47" i="1"/>
  <c r="M48" i="1"/>
  <c r="M50" i="1"/>
  <c r="M51" i="1"/>
  <c r="M52" i="1"/>
  <c r="M53" i="1"/>
  <c r="M54" i="1"/>
  <c r="M56" i="1"/>
  <c r="M57" i="1"/>
  <c r="M59" i="1"/>
  <c r="M61" i="1"/>
  <c r="M63" i="1"/>
  <c r="M66" i="1"/>
  <c r="M68" i="1"/>
  <c r="M69" i="1"/>
  <c r="M71" i="1"/>
  <c r="M75" i="1"/>
  <c r="M76" i="1"/>
  <c r="M81" i="1"/>
  <c r="M82" i="1"/>
  <c r="M83" i="1"/>
  <c r="M84" i="1"/>
  <c r="M85" i="1"/>
  <c r="M86" i="1"/>
  <c r="M88" i="1"/>
  <c r="M89" i="1"/>
  <c r="M90" i="1"/>
  <c r="M91" i="1"/>
  <c r="M92" i="1"/>
  <c r="M93" i="1"/>
  <c r="M95" i="1"/>
  <c r="M97" i="1"/>
  <c r="M98" i="1"/>
  <c r="M101" i="1"/>
  <c r="M102" i="1"/>
  <c r="M103" i="1"/>
  <c r="M105" i="1"/>
  <c r="M106" i="1"/>
  <c r="M107" i="1"/>
  <c r="M108" i="1"/>
  <c r="M112" i="1"/>
  <c r="M113" i="1"/>
  <c r="M114" i="1"/>
  <c r="M115" i="1"/>
  <c r="M116" i="1"/>
  <c r="M118" i="1"/>
  <c r="M119" i="1"/>
  <c r="M120" i="1"/>
  <c r="M121" i="1"/>
  <c r="M123" i="1"/>
  <c r="M124" i="1"/>
  <c r="M128" i="1"/>
  <c r="M129" i="1"/>
  <c r="M131" i="1"/>
  <c r="M132" i="1"/>
  <c r="M133" i="1"/>
  <c r="M134" i="1"/>
  <c r="M135" i="1"/>
  <c r="M136" i="1"/>
  <c r="M137" i="1"/>
  <c r="M138" i="1"/>
  <c r="M139" i="1"/>
  <c r="M141" i="1"/>
  <c r="M142" i="1"/>
  <c r="M146" i="1"/>
  <c r="M147" i="1"/>
  <c r="M150" i="1"/>
  <c r="M151" i="1"/>
  <c r="M153" i="1"/>
  <c r="M154" i="1"/>
  <c r="M169" i="1"/>
  <c r="M170" i="1"/>
  <c r="M171" i="1"/>
  <c r="M172" i="1"/>
  <c r="M180" i="1"/>
  <c r="M181" i="1"/>
  <c r="M183" i="1"/>
  <c r="M184" i="1"/>
  <c r="M185" i="1"/>
  <c r="M186" i="1"/>
  <c r="M189" i="1"/>
  <c r="M190" i="1"/>
  <c r="M193" i="1"/>
  <c r="M194" i="1"/>
  <c r="M196" i="1"/>
  <c r="M197" i="1"/>
  <c r="M199" i="1"/>
  <c r="M208" i="1"/>
  <c r="M210" i="1"/>
  <c r="M211" i="1"/>
  <c r="M213" i="1"/>
  <c r="M214" i="1"/>
  <c r="M215" i="1"/>
  <c r="M217" i="1"/>
  <c r="M218" i="1"/>
  <c r="M219" i="1"/>
  <c r="M225" i="1"/>
  <c r="M226" i="1"/>
  <c r="M231" i="1"/>
  <c r="M235" i="1"/>
  <c r="M237" i="1"/>
  <c r="M239" i="1"/>
  <c r="M241" i="1"/>
  <c r="M242" i="1"/>
  <c r="M243" i="1"/>
  <c r="M245" i="1"/>
  <c r="M246" i="1"/>
  <c r="M247" i="1"/>
  <c r="M248" i="1"/>
  <c r="M250" i="1"/>
  <c r="M252" i="1"/>
  <c r="M255" i="1"/>
  <c r="M258" i="1"/>
  <c r="M263" i="1"/>
  <c r="M264" i="1"/>
  <c r="M265" i="1"/>
  <c r="M266" i="1"/>
  <c r="M267" i="1"/>
  <c r="M269" i="1"/>
  <c r="M278" i="1"/>
  <c r="M279" i="1"/>
  <c r="M280" i="1"/>
  <c r="M281" i="1"/>
  <c r="M282" i="1"/>
  <c r="M283" i="1"/>
  <c r="M284" i="1"/>
  <c r="M285" i="1"/>
  <c r="M286" i="1"/>
  <c r="M288" i="1"/>
  <c r="M289" i="1"/>
  <c r="M290" i="1"/>
  <c r="M291" i="1"/>
  <c r="M292" i="1"/>
  <c r="M293" i="1"/>
  <c r="M294" i="1"/>
  <c r="M296" i="1"/>
  <c r="M297" i="1"/>
  <c r="M298" i="1"/>
  <c r="M299" i="1"/>
  <c r="M300" i="1"/>
  <c r="M304" i="1"/>
  <c r="M308" i="1"/>
  <c r="M310" i="1"/>
  <c r="M311" i="1"/>
  <c r="M312" i="1"/>
  <c r="M313" i="1"/>
  <c r="M316" i="1"/>
  <c r="M317" i="1"/>
  <c r="M318" i="1"/>
  <c r="M319" i="1"/>
  <c r="M321" i="1"/>
  <c r="M322" i="1"/>
  <c r="M323" i="1"/>
  <c r="M324" i="1"/>
  <c r="M328" i="1"/>
  <c r="M329" i="1"/>
  <c r="M332" i="1"/>
  <c r="M333" i="1"/>
  <c r="M334" i="1"/>
  <c r="M336" i="1"/>
  <c r="M337" i="1"/>
  <c r="M338" i="1"/>
  <c r="M340" i="1"/>
  <c r="M341" i="1"/>
  <c r="M344" i="1"/>
  <c r="M349" i="1"/>
  <c r="M354" i="1"/>
  <c r="M356" i="1"/>
  <c r="M357" i="1"/>
  <c r="M358" i="1"/>
  <c r="M359" i="1"/>
  <c r="M360" i="1"/>
  <c r="M362" i="1"/>
  <c r="M364" i="1"/>
  <c r="M366" i="1"/>
  <c r="M368" i="1"/>
  <c r="M369" i="1"/>
  <c r="M370" i="1"/>
  <c r="M372" i="1"/>
  <c r="M379" i="1"/>
  <c r="M383" i="1"/>
  <c r="M384" i="1"/>
  <c r="M385" i="1"/>
  <c r="M390" i="1"/>
  <c r="M395" i="1"/>
  <c r="M397" i="1"/>
  <c r="M399" i="1"/>
  <c r="M401" i="1"/>
  <c r="M402" i="1"/>
  <c r="M403" i="1"/>
  <c r="M404" i="1"/>
  <c r="M405" i="1"/>
  <c r="M407" i="1"/>
  <c r="M411" i="1"/>
  <c r="M412" i="1"/>
  <c r="M416" i="1"/>
  <c r="M417" i="1"/>
  <c r="M418" i="1"/>
  <c r="M419" i="1"/>
  <c r="M421" i="1"/>
  <c r="M422" i="1"/>
  <c r="M423" i="1"/>
  <c r="M425" i="1"/>
  <c r="M427" i="1"/>
  <c r="M428" i="1"/>
  <c r="M429" i="1"/>
  <c r="M430" i="1"/>
  <c r="M431" i="1"/>
  <c r="M432" i="1"/>
  <c r="M433" i="1"/>
  <c r="M434" i="1"/>
  <c r="M435" i="1"/>
  <c r="M436" i="1"/>
  <c r="M437" i="1"/>
  <c r="M440" i="1"/>
  <c r="M442" i="1"/>
  <c r="M451" i="1"/>
  <c r="M453" i="1"/>
</calcChain>
</file>

<file path=xl/sharedStrings.xml><?xml version="1.0" encoding="utf-8"?>
<sst xmlns="http://schemas.openxmlformats.org/spreadsheetml/2006/main" count="4978" uniqueCount="1414">
  <si>
    <t>`</t>
  </si>
  <si>
    <t>Account #</t>
  </si>
  <si>
    <t>=</t>
  </si>
  <si>
    <t>Accnt Description</t>
  </si>
  <si>
    <t>Tenant Allowance Payable</t>
  </si>
  <si>
    <t>Date</t>
  </si>
  <si>
    <t>Center Status</t>
  </si>
  <si>
    <t>Center</t>
  </si>
  <si>
    <t>Center Name</t>
  </si>
  <si>
    <t>Asset #</t>
  </si>
  <si>
    <t>GL Date</t>
  </si>
  <si>
    <t>Tenant Name</t>
  </si>
  <si>
    <t>Lease #</t>
  </si>
  <si>
    <t>Space #</t>
  </si>
  <si>
    <t>RCD</t>
  </si>
  <si>
    <t>Last day to
request TA</t>
  </si>
  <si>
    <t>Original TA Amount</t>
  </si>
  <si>
    <t>Outstanding Amount</t>
  </si>
  <si>
    <t>Comment</t>
  </si>
  <si>
    <t>Active</t>
  </si>
  <si>
    <t>Annapolis</t>
  </si>
  <si>
    <t>7-Eleven</t>
  </si>
  <si>
    <t>Not open yet, 1 year after RCD</t>
  </si>
  <si>
    <t>Brighton Collectibles</t>
  </si>
  <si>
    <t>1 year after the required date for the completion of tenant's work</t>
  </si>
  <si>
    <t>Rodizio Grill</t>
  </si>
  <si>
    <t>Not yet open, 1 year after RCD</t>
  </si>
  <si>
    <t>Moge Tee</t>
  </si>
  <si>
    <t>FC14</t>
  </si>
  <si>
    <t>1 year after RCD</t>
  </si>
  <si>
    <t>White House</t>
  </si>
  <si>
    <t>Godiva Café</t>
  </si>
  <si>
    <t>Retro Fitness</t>
  </si>
  <si>
    <t>Not open yet, 18 months from RCD</t>
  </si>
  <si>
    <t>Stoney River</t>
  </si>
  <si>
    <t>Life of the lease</t>
  </si>
  <si>
    <t>Sola Salon Studios</t>
  </si>
  <si>
    <t>Not Open, 1 year after RCD</t>
  </si>
  <si>
    <t>Kidz Rezort</t>
  </si>
  <si>
    <t>Regal Jewelers</t>
  </si>
  <si>
    <t>Garage</t>
  </si>
  <si>
    <t>18 months following remodel completion date</t>
  </si>
  <si>
    <t>Popeyes</t>
  </si>
  <si>
    <t>FC10</t>
  </si>
  <si>
    <t>Live Arts Marylands</t>
  </si>
  <si>
    <t>Brandon</t>
  </si>
  <si>
    <t>Invite Health</t>
  </si>
  <si>
    <t>Disposed - TA Forfeit</t>
  </si>
  <si>
    <t>G by Guess</t>
  </si>
  <si>
    <t>Haagen-Dazs</t>
  </si>
  <si>
    <t>Brandon Mall Pharmacy</t>
  </si>
  <si>
    <t>Not open yet, 1 year from RCD</t>
  </si>
  <si>
    <t>Grain &amp; Berry</t>
  </si>
  <si>
    <t>Somnis Sleep System</t>
  </si>
  <si>
    <t>Trollbeads</t>
  </si>
  <si>
    <t>Planet Grilled Cheese</t>
  </si>
  <si>
    <t>FC5</t>
  </si>
  <si>
    <t>Latt Liv</t>
  </si>
  <si>
    <t>Aussie Grill</t>
  </si>
  <si>
    <t>FC15</t>
  </si>
  <si>
    <t>Fit2Run</t>
  </si>
  <si>
    <t>Ugean</t>
  </si>
  <si>
    <t>Great American</t>
  </si>
  <si>
    <t>Blind Tiger Café</t>
  </si>
  <si>
    <t>Clasico Chophouse</t>
  </si>
  <si>
    <t>Cioccolato</t>
  </si>
  <si>
    <t>Century City</t>
  </si>
  <si>
    <t>Biryani's by Spice Affair</t>
  </si>
  <si>
    <t>918488</t>
  </si>
  <si>
    <r>
      <rPr>
        <sz val="10"/>
        <color rgb="FF0070C0"/>
        <rFont val="Arial"/>
        <family val="2"/>
      </rPr>
      <t xml:space="preserve">DISPOSE - Tenant did not request. </t>
    </r>
    <r>
      <rPr>
        <sz val="10"/>
        <rFont val="Arial"/>
        <family val="2"/>
      </rPr>
      <t>1 year after RCD</t>
    </r>
  </si>
  <si>
    <t>Bake Cheese</t>
  </si>
  <si>
    <t>3 year after RCD</t>
  </si>
  <si>
    <t>Dyson</t>
  </si>
  <si>
    <t>Bibigo</t>
  </si>
  <si>
    <t>Cleaning Nerd</t>
  </si>
  <si>
    <t>One Medical</t>
  </si>
  <si>
    <t>HRB</t>
  </si>
  <si>
    <t>Kindbody</t>
  </si>
  <si>
    <t>AP payment, Accrue JE missing</t>
  </si>
  <si>
    <t>Buck Mason</t>
  </si>
  <si>
    <t>AR offset debit missing. Full amount of TA has been paid</t>
  </si>
  <si>
    <t>Levi's</t>
  </si>
  <si>
    <t>1.5 year after RCD</t>
  </si>
  <si>
    <t>Zinque</t>
  </si>
  <si>
    <r>
      <t xml:space="preserve">AP payment- no JE booking. </t>
    </r>
    <r>
      <rPr>
        <sz val="10"/>
        <color rgb="FF0070C0"/>
        <rFont val="Arial"/>
        <family val="2"/>
      </rPr>
      <t>Reclass to TA inventory due to remaining bal combined with new TA per Addl Amendment is over $150k.</t>
    </r>
  </si>
  <si>
    <t>Melissa, Melissa Shoes or Meli</t>
  </si>
  <si>
    <r>
      <t xml:space="preserve">AP payment- no JE booking. </t>
    </r>
    <r>
      <rPr>
        <sz val="10"/>
        <color rgb="FF0070C0"/>
        <rFont val="Arial"/>
        <family val="2"/>
      </rPr>
      <t>B# 9883759 is made to offset AP PMT.</t>
    </r>
  </si>
  <si>
    <t>Auntie Anne's</t>
  </si>
  <si>
    <t>Tesla</t>
  </si>
  <si>
    <r>
      <t xml:space="preserve">AR offset debit missing. </t>
    </r>
    <r>
      <rPr>
        <sz val="10"/>
        <color rgb="FF0070C0"/>
        <rFont val="Arial"/>
        <family val="2"/>
      </rPr>
      <t>B#9883759 is made to offset AR.</t>
    </r>
  </si>
  <si>
    <t>Design Within Reach/Herman Miller</t>
  </si>
  <si>
    <t>Blue Nile</t>
  </si>
  <si>
    <t>2 year after RCD</t>
  </si>
  <si>
    <t>FP Moment</t>
  </si>
  <si>
    <t>Psycho Bunny</t>
  </si>
  <si>
    <t>Cha Cha Matcha</t>
  </si>
  <si>
    <t>Allbirds</t>
  </si>
  <si>
    <t>Ralph Lauren</t>
  </si>
  <si>
    <t>2 1/2 year after RCD</t>
  </si>
  <si>
    <t>Rhone</t>
  </si>
  <si>
    <t>18 months after RCD</t>
  </si>
  <si>
    <t>Lenscrafters</t>
  </si>
  <si>
    <t>2  year after RCD</t>
  </si>
  <si>
    <t>Bearfruit Jewelry</t>
  </si>
  <si>
    <t>Mack Weldon</t>
  </si>
  <si>
    <t>Naadam</t>
  </si>
  <si>
    <t>Showfields</t>
  </si>
  <si>
    <t>Ramen Nagi</t>
  </si>
  <si>
    <t>Café Landwer</t>
  </si>
  <si>
    <t>Amendment#2 -expiration date 2/15/22</t>
  </si>
  <si>
    <t>Camp</t>
  </si>
  <si>
    <t>life of the lease</t>
  </si>
  <si>
    <t>Pudu Pudu</t>
  </si>
  <si>
    <t>Little Kitchen Academy</t>
  </si>
  <si>
    <t>Chanel</t>
  </si>
  <si>
    <t>Tudor</t>
  </si>
  <si>
    <t>American Girl</t>
  </si>
  <si>
    <t>Receivers</t>
  </si>
  <si>
    <t>Citrus Park</t>
  </si>
  <si>
    <t>Crepes and Waffles</t>
  </si>
  <si>
    <t>Sold</t>
  </si>
  <si>
    <t>Connecticut Post</t>
  </si>
  <si>
    <t>Red Robin</t>
  </si>
  <si>
    <t>R4</t>
  </si>
  <si>
    <t>Blum/Cent Accrual Partial Payment</t>
  </si>
  <si>
    <t>The Children's Place</t>
  </si>
  <si>
    <t>Blum/Cent - Life of the Lease</t>
  </si>
  <si>
    <t>12/31/2015</t>
  </si>
  <si>
    <t>Oxford Jewel</t>
  </si>
  <si>
    <t>N/A</t>
  </si>
  <si>
    <t>Blum/Cent add capex accruals</t>
  </si>
  <si>
    <t>Big Reds</t>
  </si>
  <si>
    <t xml:space="preserve"> EBLENS</t>
  </si>
  <si>
    <t>To be clear with the final Blum/Centennial transaction to gain/loss. SOLD CENTER</t>
  </si>
  <si>
    <t>Countryside</t>
  </si>
  <si>
    <t>EZ Relaxation</t>
  </si>
  <si>
    <t>919176</t>
  </si>
  <si>
    <r>
      <rPr>
        <sz val="10"/>
        <color rgb="FF0070C0"/>
        <rFont val="Arial"/>
        <family val="2"/>
      </rPr>
      <t>DO NOT DISPOSE- Tenant submitted on 6/13/18. TT still need to provide required docs.</t>
    </r>
    <r>
      <rPr>
        <sz val="10"/>
        <rFont val="Arial"/>
        <family val="2"/>
      </rPr>
      <t>1 year after RCD. 8/27/18- TT inquired on TA 6/13/18- advised TA expires 8/31/18 -Sent reminder email TA set to expire 8/27/18 JG</t>
    </r>
  </si>
  <si>
    <t>Paris Jewelers</t>
  </si>
  <si>
    <t>Game Time</t>
  </si>
  <si>
    <t>not open yet, life of the lease</t>
  </si>
  <si>
    <t>Cheesecake</t>
  </si>
  <si>
    <t>Shell Shack</t>
  </si>
  <si>
    <t>Fashion Square</t>
  </si>
  <si>
    <t>1/22/2016</t>
  </si>
  <si>
    <t>ANGL</t>
  </si>
  <si>
    <t>Vine Vera</t>
  </si>
  <si>
    <t>1 year after rcd</t>
  </si>
  <si>
    <t>Old Navy</t>
  </si>
  <si>
    <t>39B</t>
  </si>
  <si>
    <t>Zumiez</t>
  </si>
  <si>
    <t>Life of the lease. Reclass to be booked this quarter</t>
  </si>
  <si>
    <t>Hollister</t>
  </si>
  <si>
    <t>Bras N Things</t>
  </si>
  <si>
    <t>Noizz</t>
  </si>
  <si>
    <t>Not open, 18 months after RCD</t>
  </si>
  <si>
    <t>Windsor Fashions</t>
  </si>
  <si>
    <t>Plesase check if PR is approve with lease ID</t>
  </si>
  <si>
    <t>Culver City Mall LP</t>
  </si>
  <si>
    <t>Metropolis Big &amp; Tall</t>
  </si>
  <si>
    <t>D12</t>
  </si>
  <si>
    <t>Amd3 extended lease to 1/31/20, no mention of HVAC reimbursement in Amd3. Leasing confirmed tenant can request this til the expiration of Amd 3.</t>
  </si>
  <si>
    <t>e.l.f.</t>
  </si>
  <si>
    <t>A12</t>
  </si>
  <si>
    <t>Street Churros</t>
  </si>
  <si>
    <t>H6</t>
  </si>
  <si>
    <t>AR Offset needed</t>
  </si>
  <si>
    <t>Tilly's</t>
  </si>
  <si>
    <t>E21</t>
  </si>
  <si>
    <t>Doc Popcorn</t>
  </si>
  <si>
    <t>Verizon</t>
  </si>
  <si>
    <t>B10</t>
  </si>
  <si>
    <t>Bombay Frankie</t>
  </si>
  <si>
    <t>B16</t>
  </si>
  <si>
    <t>Lush Fresh</t>
  </si>
  <si>
    <t>2 years after RCD</t>
  </si>
  <si>
    <t>C12</t>
  </si>
  <si>
    <t>Prinkipia Tea</t>
  </si>
  <si>
    <t>G12</t>
  </si>
  <si>
    <t>Sugarfina</t>
  </si>
  <si>
    <t>A8</t>
  </si>
  <si>
    <t>Harold's Chicken</t>
  </si>
  <si>
    <t>Savage</t>
  </si>
  <si>
    <t>Shake Shack</t>
  </si>
  <si>
    <t>Fox Valley</t>
  </si>
  <si>
    <t>10/29/2015</t>
  </si>
  <si>
    <t>Athlete's Foot</t>
  </si>
  <si>
    <t>12232</t>
  </si>
  <si>
    <t>Blum/Cent SOLD CENTER</t>
  </si>
  <si>
    <t>Vapors 365</t>
  </si>
  <si>
    <t>Galleria at Roseville</t>
  </si>
  <si>
    <t>Forever 21</t>
  </si>
  <si>
    <t>Cantina Laredo</t>
  </si>
  <si>
    <t>not open yet, 1 year after RCD; need to book in Apr</t>
  </si>
  <si>
    <t>Tory Burch</t>
  </si>
  <si>
    <t>Lego</t>
  </si>
  <si>
    <t>lululemon athletica</t>
  </si>
  <si>
    <t>Casper</t>
  </si>
  <si>
    <t>Madewell</t>
  </si>
  <si>
    <t>Not open, Life of the lease</t>
  </si>
  <si>
    <t>FC12</t>
  </si>
  <si>
    <t>Fabletics</t>
  </si>
  <si>
    <t>travisMathew</t>
  </si>
  <si>
    <t>See's Candies</t>
  </si>
  <si>
    <t>YSL</t>
  </si>
  <si>
    <t>Gucci</t>
  </si>
  <si>
    <t>Devon's Jewelers</t>
  </si>
  <si>
    <t>Capital One</t>
  </si>
  <si>
    <t>Peloton</t>
  </si>
  <si>
    <t>Life of lease</t>
  </si>
  <si>
    <t>Warby Parker</t>
  </si>
  <si>
    <t>Garden State Plaza</t>
  </si>
  <si>
    <t>Philosophy</t>
  </si>
  <si>
    <r>
      <rPr>
        <sz val="10"/>
        <color rgb="FF0070C0"/>
        <rFont val="Arial"/>
        <family val="2"/>
      </rPr>
      <t>DISPOSE- Tenant has not submitted their request yet.</t>
    </r>
    <r>
      <rPr>
        <sz val="10"/>
        <rFont val="Arial"/>
        <family val="2"/>
      </rPr>
      <t xml:space="preserve"> 2 years after RCD</t>
    </r>
  </si>
  <si>
    <t>Morphe</t>
  </si>
  <si>
    <t>G9</t>
  </si>
  <si>
    <t>Tumi</t>
  </si>
  <si>
    <t>3 years after RCD</t>
  </si>
  <si>
    <t>Eye to Eye</t>
  </si>
  <si>
    <t>Janie &amp; Jack</t>
  </si>
  <si>
    <t xml:space="preserve">C3 </t>
  </si>
  <si>
    <t>J. Crew</t>
  </si>
  <si>
    <t>Bonobos</t>
  </si>
  <si>
    <t>Sleep Number</t>
  </si>
  <si>
    <t>Jerk Shack</t>
  </si>
  <si>
    <t>Soma Intimates</t>
  </si>
  <si>
    <t>Arena Stem</t>
  </si>
  <si>
    <t>Godiva</t>
  </si>
  <si>
    <t>Hive &amp; Colony</t>
  </si>
  <si>
    <t>need to book in Apr</t>
  </si>
  <si>
    <t>RCL TA_OPS TO DEV</t>
  </si>
  <si>
    <t>Mein 3D</t>
  </si>
  <si>
    <t>lease terminate Jun 2021?</t>
  </si>
  <si>
    <t>Aerie and Offline</t>
  </si>
  <si>
    <t>D8</t>
  </si>
  <si>
    <t>Diesel</t>
  </si>
  <si>
    <t>Pinstripes</t>
  </si>
  <si>
    <t>M17</t>
  </si>
  <si>
    <t>Aesop</t>
  </si>
  <si>
    <t>Under Armour</t>
  </si>
  <si>
    <t>Calzedonial</t>
  </si>
  <si>
    <t>D3</t>
  </si>
  <si>
    <t>Champs Sports</t>
  </si>
  <si>
    <t>Seasons 52</t>
  </si>
  <si>
    <t>A14</t>
  </si>
  <si>
    <t xml:space="preserve">Eddie V's </t>
  </si>
  <si>
    <t>A8A</t>
  </si>
  <si>
    <t xml:space="preserve">Gucci </t>
  </si>
  <si>
    <t>D6A</t>
  </si>
  <si>
    <t>Sensual</t>
  </si>
  <si>
    <t>Hawthorn</t>
  </si>
  <si>
    <t>Maggiano's</t>
  </si>
  <si>
    <t>Dave &amp; Busters</t>
  </si>
  <si>
    <t>AT&amp;T</t>
  </si>
  <si>
    <t>Mainplace</t>
  </si>
  <si>
    <t>10/31/2015</t>
  </si>
  <si>
    <t>Panini Café</t>
  </si>
  <si>
    <t>0218</t>
  </si>
  <si>
    <t>SOLD CENTER</t>
  </si>
  <si>
    <t>Children Place</t>
  </si>
  <si>
    <t xml:space="preserve">New York &amp; Co </t>
  </si>
  <si>
    <t>Sprint Store</t>
  </si>
  <si>
    <t>Proactiv</t>
  </si>
  <si>
    <t>RMLA Shapes Brow</t>
  </si>
  <si>
    <t xml:space="preserve">Hot Fries </t>
  </si>
  <si>
    <t>Meriden</t>
  </si>
  <si>
    <t>Justice</t>
  </si>
  <si>
    <t>2 years from "Option Remodel Date 12/31/17" in Amd2</t>
  </si>
  <si>
    <t>11/18/2015</t>
  </si>
  <si>
    <t>GameStop</t>
  </si>
  <si>
    <t>Life of the Lease</t>
  </si>
  <si>
    <t>Mission Valley</t>
  </si>
  <si>
    <t>Kalya's Body Jewelry</t>
  </si>
  <si>
    <t>Phenix Salon</t>
  </si>
  <si>
    <t>2 years after required opening date</t>
  </si>
  <si>
    <t>Mission Valley West</t>
  </si>
  <si>
    <t>1 year after required opening date (1/1/2021)</t>
  </si>
  <si>
    <t>Montgomery</t>
  </si>
  <si>
    <t>Zenscape</t>
  </si>
  <si>
    <t>not open yet, 1 year after RCD</t>
  </si>
  <si>
    <t>Poke Papa</t>
  </si>
  <si>
    <t>Amazon Star 4 Stars</t>
  </si>
  <si>
    <t xml:space="preserve"> Elite Jewelers</t>
  </si>
  <si>
    <t xml:space="preserve">Avalon </t>
  </si>
  <si>
    <t>Seoul Spice</t>
  </si>
  <si>
    <t>North County</t>
  </si>
  <si>
    <t>Daphne's California Greek</t>
  </si>
  <si>
    <t>Salon Republic</t>
  </si>
  <si>
    <t>Best Buzz</t>
  </si>
  <si>
    <t>Magic Brow</t>
  </si>
  <si>
    <t>V&amp;D Jewelry</t>
  </si>
  <si>
    <t>W/O balance?</t>
  </si>
  <si>
    <t>SKSI</t>
  </si>
  <si>
    <t>JD Sports</t>
  </si>
  <si>
    <t>Oakridge</t>
  </si>
  <si>
    <t>Spacetel</t>
  </si>
  <si>
    <r>
      <rPr>
        <sz val="10"/>
        <color rgb="FF0070C0"/>
        <rFont val="Arial"/>
        <family val="2"/>
      </rPr>
      <t>DISPOSE - Tenant did not request</t>
    </r>
    <r>
      <rPr>
        <sz val="10"/>
        <rFont val="Arial"/>
        <family val="2"/>
      </rPr>
      <t>. 1 year after RCD. 8/28/18 MEB: TT has not requested</t>
    </r>
  </si>
  <si>
    <t>Nordstrom Rack</t>
  </si>
  <si>
    <t>Z-20</t>
  </si>
  <si>
    <t>due 30 days after "Refurbishment Work" completion by 10/31/20</t>
  </si>
  <si>
    <t>De Masque</t>
  </si>
  <si>
    <t>D13</t>
  </si>
  <si>
    <t>TP Tea</t>
  </si>
  <si>
    <t>F5</t>
  </si>
  <si>
    <t>Steve's Hallmark</t>
  </si>
  <si>
    <t>F10</t>
  </si>
  <si>
    <t>Color Me Mine</t>
  </si>
  <si>
    <t>Wheel Works</t>
  </si>
  <si>
    <t>FSU1G</t>
  </si>
  <si>
    <t>check with leasing on expiration date</t>
  </si>
  <si>
    <t>Bath and Body work</t>
  </si>
  <si>
    <t>Diamond Ring</t>
  </si>
  <si>
    <t>X26</t>
  </si>
  <si>
    <t>Mochinut</t>
  </si>
  <si>
    <t>T13</t>
  </si>
  <si>
    <t>Umai Savory House Dog</t>
  </si>
  <si>
    <t>Superdish</t>
  </si>
  <si>
    <t>La Dolce  Gelato</t>
  </si>
  <si>
    <t>U5</t>
  </si>
  <si>
    <t>Valliani Jewelers</t>
  </si>
  <si>
    <t>W4</t>
  </si>
  <si>
    <t>Just Hats</t>
  </si>
  <si>
    <t>Y4</t>
  </si>
  <si>
    <t>Q3</t>
  </si>
  <si>
    <t>Slaters 50/50</t>
  </si>
  <si>
    <t>Old Orchard</t>
  </si>
  <si>
    <t>Pandora</t>
  </si>
  <si>
    <t>C32</t>
  </si>
  <si>
    <t>"Air Handler Unit" reimbursement, life of lease</t>
  </si>
  <si>
    <t>Sunglass Hut</t>
  </si>
  <si>
    <t>D123</t>
  </si>
  <si>
    <t>L6</t>
  </si>
  <si>
    <t>1 years after RCD</t>
  </si>
  <si>
    <t>J4</t>
  </si>
  <si>
    <t>Amazon 4 Star</t>
  </si>
  <si>
    <t>D109</t>
  </si>
  <si>
    <t>Bar Siena</t>
  </si>
  <si>
    <t>K1</t>
  </si>
  <si>
    <t>Mario Tricoci Hair Salon And D</t>
  </si>
  <si>
    <t>E20</t>
  </si>
  <si>
    <t>American Eagle</t>
  </si>
  <si>
    <t>B8</t>
  </si>
  <si>
    <t>TravisMathew</t>
  </si>
  <si>
    <t>J5</t>
  </si>
  <si>
    <t>N10</t>
  </si>
  <si>
    <t>Madison Reed</t>
  </si>
  <si>
    <t>E26</t>
  </si>
  <si>
    <t>J10</t>
  </si>
  <si>
    <t>Purple Matress</t>
  </si>
  <si>
    <t>E30</t>
  </si>
  <si>
    <t>Pie Five Pizza</t>
  </si>
  <si>
    <t>Capital Grille</t>
  </si>
  <si>
    <t>Old Orchard Office</t>
  </si>
  <si>
    <t>Womens Medical Gr</t>
  </si>
  <si>
    <t>Old Orchard Periodontic</t>
  </si>
  <si>
    <t>88102</t>
  </si>
  <si>
    <t>318/310</t>
  </si>
  <si>
    <t>Chicago Dental Arts</t>
  </si>
  <si>
    <t>Palm Desert</t>
  </si>
  <si>
    <t>Soothing Massage</t>
  </si>
  <si>
    <t>B126</t>
  </si>
  <si>
    <t>Smart Mobile</t>
  </si>
  <si>
    <t>V422</t>
  </si>
  <si>
    <t>Oak West</t>
  </si>
  <si>
    <t>V419</t>
  </si>
  <si>
    <t>Elite Cosmetology</t>
  </si>
  <si>
    <t>V417</t>
  </si>
  <si>
    <t>Plaza Bonita</t>
  </si>
  <si>
    <t>NYX Professional</t>
  </si>
  <si>
    <t>Urban Decay</t>
  </si>
  <si>
    <t>life of lease</t>
  </si>
  <si>
    <t>Gerry's Grill</t>
  </si>
  <si>
    <t>Sip Fresh</t>
  </si>
  <si>
    <t xml:space="preserve"> Allstate</t>
  </si>
  <si>
    <t>931534</t>
  </si>
  <si>
    <t>San Francisco Emporium</t>
  </si>
  <si>
    <t>San Francisco Filipino Cultural Center</t>
  </si>
  <si>
    <t>MEZZ</t>
  </si>
  <si>
    <t>TT already applied for partial payment. Per center, pending settlement agreement involving multiple parties, including Dev &amp; JV Partners. TT was working w SF Mayor's office to secure payment in full when mayor passed away. 6/5/18 BC, emailed center for update</t>
  </si>
  <si>
    <t>Oak &amp; Fort</t>
  </si>
  <si>
    <t>917564</t>
  </si>
  <si>
    <r>
      <rPr>
        <sz val="10"/>
        <color rgb="FF0070C0"/>
        <rFont val="Arial"/>
        <family val="2"/>
      </rPr>
      <t>DISPOSE- No Amendment was done to extend the expiration only breaking it down to two progress payment. Tenant haven't request for it yet.</t>
    </r>
    <r>
      <rPr>
        <sz val="10"/>
        <rFont val="Arial"/>
        <family val="2"/>
      </rPr>
      <t xml:space="preserve"> Do not reverse, expiration is recent, reaching out to leasing for extension. 4/30/18 -We have asked leasing to complete an amendment to extend their TA deadline. No eta on amendment but leasing is going to pursue (MEB). Tenant has gone silent, no eta on AMD from leasing to extend deadline 5/23/18. Per leasing, they are working to get this completed MEB - 6/5/18. 8/28/18, MEB - do not reverse, amendment is executed to extend</t>
    </r>
  </si>
  <si>
    <t>Lovesac</t>
  </si>
  <si>
    <t>917283</t>
  </si>
  <si>
    <r>
      <rPr>
        <sz val="10"/>
        <color rgb="FF0070C0"/>
        <rFont val="Arial"/>
        <family val="2"/>
      </rPr>
      <t xml:space="preserve">DISPOSE- Inquiry is from TC not the Tenant. Tenant has not provided any documents. </t>
    </r>
    <r>
      <rPr>
        <sz val="10"/>
        <rFont val="Arial"/>
        <family val="2"/>
      </rPr>
      <t>Tenant requested TA on time, pending additional documentation. 4/30/18 - Tenant requested on time but has not responded to emails (MEB). Cant write off since TT requested on time. Don’t know what we want to do policy wise, if TT has not provided docs after certain amount of time. But technically this has not expired. 6/5/18 MEB</t>
    </r>
  </si>
  <si>
    <t>KOJA Kitchen</t>
  </si>
  <si>
    <t>919027</t>
  </si>
  <si>
    <t>FE10</t>
  </si>
  <si>
    <r>
      <rPr>
        <sz val="10"/>
        <color rgb="FF0070C0"/>
        <rFont val="Arial"/>
        <family val="2"/>
      </rPr>
      <t>DISPOSE- Tenant haven't request for it yet.</t>
    </r>
    <r>
      <rPr>
        <sz val="10"/>
        <rFont val="Arial"/>
        <family val="2"/>
      </rPr>
      <t xml:space="preserve"> 1 year after RCD</t>
    </r>
  </si>
  <si>
    <t>Tournea</t>
  </si>
  <si>
    <t>Amazon Go</t>
  </si>
  <si>
    <t>Boss Hugo</t>
  </si>
  <si>
    <t>Umai Savory Hot Dogs</t>
  </si>
  <si>
    <t>FE7</t>
  </si>
  <si>
    <t>1 year afer RCD</t>
  </si>
  <si>
    <t>Chalo</t>
  </si>
  <si>
    <t>Coach</t>
  </si>
  <si>
    <t>Rolex Boutique</t>
  </si>
  <si>
    <t>2 year afer RCD</t>
  </si>
  <si>
    <t>Zero &amp; Hanabi Cakes</t>
  </si>
  <si>
    <t>San Francisco Shopping Centre</t>
  </si>
  <si>
    <t>Oak + Fort</t>
  </si>
  <si>
    <t>Ted Baker</t>
  </si>
  <si>
    <t>Santa Anita</t>
  </si>
  <si>
    <t>Benihana</t>
  </si>
  <si>
    <t>R1</t>
  </si>
  <si>
    <t>Lady M Cakes Boutique</t>
  </si>
  <si>
    <t>Wushiland</t>
  </si>
  <si>
    <t>D1</t>
  </si>
  <si>
    <t>innisfree</t>
  </si>
  <si>
    <t>B13</t>
  </si>
  <si>
    <t>Fruiggies</t>
  </si>
  <si>
    <t>Kate Spade</t>
  </si>
  <si>
    <t>Sunmerry</t>
  </si>
  <si>
    <t>G1</t>
  </si>
  <si>
    <t>Vitamin World</t>
  </si>
  <si>
    <t>F8</t>
  </si>
  <si>
    <t>Chick-Fil-A</t>
  </si>
  <si>
    <t>T38</t>
  </si>
  <si>
    <t>APM Monaco</t>
  </si>
  <si>
    <t>C7A</t>
  </si>
  <si>
    <t>Rebag</t>
  </si>
  <si>
    <t>A17</t>
  </si>
  <si>
    <t>1 year after extension RCD</t>
  </si>
  <si>
    <t>Jay Bird</t>
  </si>
  <si>
    <t>Pressed Juicery</t>
  </si>
  <si>
    <t>Funbox</t>
  </si>
  <si>
    <t>S6</t>
  </si>
  <si>
    <t>Smoke Fire Social</t>
  </si>
  <si>
    <t>R5</t>
  </si>
  <si>
    <t>KrispyRice</t>
  </si>
  <si>
    <t>T56</t>
  </si>
  <si>
    <t>IKEA</t>
  </si>
  <si>
    <t>Dr Martens</t>
  </si>
  <si>
    <t>Marugame Udon</t>
  </si>
  <si>
    <t>Valencia</t>
  </si>
  <si>
    <t>FC8</t>
  </si>
  <si>
    <t>Sarasota Square</t>
  </si>
  <si>
    <t>H&amp;M</t>
  </si>
  <si>
    <t>South Shore</t>
  </si>
  <si>
    <t>B4</t>
  </si>
  <si>
    <t>Expired 1 year after original RCD: Reversed in July-21</t>
  </si>
  <si>
    <t>Takumi</t>
  </si>
  <si>
    <t>A20</t>
  </si>
  <si>
    <t>Expired 1 year after RCD (11/1/18): Reversed in July-21</t>
  </si>
  <si>
    <t>Aerie</t>
  </si>
  <si>
    <t>F12</t>
  </si>
  <si>
    <t>Hook &amp; Reel</t>
  </si>
  <si>
    <t>A1</t>
  </si>
  <si>
    <t>Not open yet, 2 years after RCD (2/10/21)</t>
  </si>
  <si>
    <t xml:space="preserve">Rue 21 </t>
  </si>
  <si>
    <t>N3</t>
  </si>
  <si>
    <t>Southcenter</t>
  </si>
  <si>
    <t>Boba Smoothies</t>
  </si>
  <si>
    <t>Total remaining liability should be $7,500, emailed AP/AR regarding the AR Offset billing of $2,500. Once resolved, we can reverse the total $7,500. 4/25/18, BC - emailed follow up to AP/AR. 8/28/18 MEB: no update, technially tenant requested in time, but outstanding issues is preventing us to payout</t>
  </si>
  <si>
    <t>Build-A-Bear</t>
  </si>
  <si>
    <t>Not open yet, Life of the lease</t>
  </si>
  <si>
    <t>Riley Rose</t>
  </si>
  <si>
    <t>General Nutrition Center</t>
  </si>
  <si>
    <t>Meet Fresh</t>
  </si>
  <si>
    <t>Not open yet, 1 year after RCD, AR took $53K</t>
  </si>
  <si>
    <t>Homegrown</t>
  </si>
  <si>
    <t>18 months from RCD</t>
  </si>
  <si>
    <t>Safari</t>
  </si>
  <si>
    <t>Swarovski</t>
  </si>
  <si>
    <t>Hot Topic</t>
  </si>
  <si>
    <t>Amazon 4-Star</t>
  </si>
  <si>
    <t>Crepe Legend</t>
  </si>
  <si>
    <t>Bath &amp; Body Work</t>
  </si>
  <si>
    <t>Tillys</t>
  </si>
  <si>
    <t>Royce</t>
  </si>
  <si>
    <t>Accrued with Asset# 222993 - Reclass Needed</t>
  </si>
  <si>
    <t>Paid with Asset# 221202 - Reclass Needed</t>
  </si>
  <si>
    <t>Hui Lau Shan</t>
  </si>
  <si>
    <t>Miochinut</t>
  </si>
  <si>
    <t>Southgate</t>
  </si>
  <si>
    <t>L'Core Paris</t>
  </si>
  <si>
    <t>Southlake</t>
  </si>
  <si>
    <t>LLW - Vans</t>
  </si>
  <si>
    <t>Starwood II Leasing Cap Accr - Sch 7.1.9 (B)</t>
  </si>
  <si>
    <t>Sunrise</t>
  </si>
  <si>
    <t>Stewart's All-American</t>
  </si>
  <si>
    <t>FC2</t>
  </si>
  <si>
    <t>Topanga</t>
  </si>
  <si>
    <t>Miniso</t>
  </si>
  <si>
    <t>Boarders</t>
  </si>
  <si>
    <t>97B</t>
  </si>
  <si>
    <t>Fully paid in 04/22</t>
  </si>
  <si>
    <t>Versace</t>
  </si>
  <si>
    <t>1084D</t>
  </si>
  <si>
    <t>Zagg</t>
  </si>
  <si>
    <t>paid in Nov 2020</t>
  </si>
  <si>
    <t>Aritzia</t>
  </si>
  <si>
    <t>63A</t>
  </si>
  <si>
    <r>
      <t xml:space="preserve">AP payment- no JE booking  </t>
    </r>
    <r>
      <rPr>
        <sz val="10"/>
        <color rgb="FF0070C0"/>
        <rFont val="Arial"/>
        <family val="2"/>
      </rPr>
      <t>- JE created in Q3. Accrue with additional $225k for Progress #3. ($900k for Progress#2)</t>
    </r>
    <r>
      <rPr>
        <sz val="10"/>
        <rFont val="Arial"/>
        <family val="2"/>
      </rPr>
      <t xml:space="preserve">; </t>
    </r>
    <r>
      <rPr>
        <sz val="10"/>
        <color rgb="FF0070C0"/>
        <rFont val="Arial"/>
        <family val="2"/>
      </rPr>
      <t>Asset# reclass to 221779. Payment used wrong asset# for LLW.</t>
    </r>
  </si>
  <si>
    <t>Louis Vuitton</t>
  </si>
  <si>
    <r>
      <t>AP payment- no JE booking</t>
    </r>
    <r>
      <rPr>
        <sz val="10"/>
        <color rgb="FF0070C0"/>
        <rFont val="Arial"/>
        <family val="2"/>
      </rPr>
      <t xml:space="preserve"> - JE created in Q3. Accrue full TA as $637.4k</t>
    </r>
  </si>
  <si>
    <t xml:space="preserve"> </t>
  </si>
  <si>
    <t>It's Sugar</t>
  </si>
  <si>
    <t>Ferragamo</t>
  </si>
  <si>
    <t>Golden Goose</t>
  </si>
  <si>
    <t>1082E</t>
  </si>
  <si>
    <t>Levis</t>
  </si>
  <si>
    <t>Trumbull</t>
  </si>
  <si>
    <t>Build-A-Bear Workshop</t>
  </si>
  <si>
    <t>TA is requested in full - Tenant requested on 1/15/18.  Revsered in July-21</t>
  </si>
  <si>
    <t>Ulta</t>
  </si>
  <si>
    <t>not open yet, no expiration</t>
  </si>
  <si>
    <t>Children's Place, The</t>
  </si>
  <si>
    <t>Expired 2 years from relocation effective date of 11/12/18: Reversed in July-21</t>
  </si>
  <si>
    <t>Not open yet, 1 year from RCD: Reversed in July-21</t>
  </si>
  <si>
    <t>Athena Greek</t>
  </si>
  <si>
    <t>Expired 1 year after RCD - TT terminated: Reversed in July-21</t>
  </si>
  <si>
    <t>Ardene USA Inc.</t>
  </si>
  <si>
    <t xml:space="preserve">1 year after RCD </t>
  </si>
  <si>
    <t>JE needed to offset payment</t>
  </si>
  <si>
    <t>UTC</t>
  </si>
  <si>
    <t>C17</t>
  </si>
  <si>
    <t>C5</t>
  </si>
  <si>
    <t>Ben Bridge</t>
  </si>
  <si>
    <t>C19</t>
  </si>
  <si>
    <t>VinFast</t>
  </si>
  <si>
    <t>H21</t>
  </si>
  <si>
    <t>Albion</t>
  </si>
  <si>
    <t>Haidilao</t>
  </si>
  <si>
    <t>F9</t>
  </si>
  <si>
    <t>Knix</t>
  </si>
  <si>
    <t>Rowan</t>
  </si>
  <si>
    <t>1 year after RCD.</t>
  </si>
  <si>
    <t>Pura Vida</t>
  </si>
  <si>
    <t>F3A</t>
  </si>
  <si>
    <t>Silverlake Ramen</t>
  </si>
  <si>
    <t>Bitter Root Pottery</t>
  </si>
  <si>
    <r>
      <rPr>
        <sz val="10"/>
        <color rgb="FF0070C0"/>
        <rFont val="Arial"/>
        <family val="2"/>
      </rPr>
      <t>DISPOSE- Tenant did not request for their Final TA. No Amendment was done to extend expiration.</t>
    </r>
    <r>
      <rPr>
        <sz val="10"/>
        <rFont val="Arial"/>
        <family val="2"/>
      </rPr>
      <t xml:space="preserve"> 1 yr from RCD date, tenant opened 6/2/18, amd?. 8/28/18 MEB: Amendment is pending to extend to make TT eligible. Please don’t delete</t>
    </r>
  </si>
  <si>
    <t>Shiekh Shoes</t>
  </si>
  <si>
    <t>1 year after RCD (expected 6/1/18)</t>
  </si>
  <si>
    <t>House of Bounce</t>
  </si>
  <si>
    <t>Note open yet, 1 year after RCD</t>
  </si>
  <si>
    <t xml:space="preserve">AT&amp;T </t>
  </si>
  <si>
    <t>It's Boba Time</t>
  </si>
  <si>
    <t>Painting With a Twist</t>
  </si>
  <si>
    <t xml:space="preserve"> Salon Republic, LLC</t>
  </si>
  <si>
    <t>Pro Image Sports</t>
  </si>
  <si>
    <t>Dental  Arts</t>
  </si>
  <si>
    <t>932052</t>
  </si>
  <si>
    <t>Valencia North</t>
  </si>
  <si>
    <t>Crab N Spice</t>
  </si>
  <si>
    <t>931320</t>
  </si>
  <si>
    <t>Valencia South</t>
  </si>
  <si>
    <t>Ivy Day Spa, The</t>
  </si>
  <si>
    <t>116326</t>
  </si>
  <si>
    <t>Valley Fair</t>
  </si>
  <si>
    <t xml:space="preserve">La Maison De Patisser </t>
  </si>
  <si>
    <t>A78</t>
  </si>
  <si>
    <t>Life of the Lease, Amd 6-Sec-A3. Per TC, tenant requested but is not willing to perform the work required to complete the checklist. Dispose?</t>
  </si>
  <si>
    <t>G-Star Raw</t>
  </si>
  <si>
    <t>B311</t>
  </si>
  <si>
    <t>Kids Atelier</t>
  </si>
  <si>
    <t>A331</t>
  </si>
  <si>
    <t>Foot Locker</t>
  </si>
  <si>
    <t>B271</t>
  </si>
  <si>
    <t>B270</t>
  </si>
  <si>
    <t xml:space="preserve">Masaki Matsuka </t>
  </si>
  <si>
    <t>A84</t>
  </si>
  <si>
    <t>Samsonite</t>
  </si>
  <si>
    <t>A130</t>
  </si>
  <si>
    <t>T2</t>
  </si>
  <si>
    <t>A47</t>
  </si>
  <si>
    <t>Pinkberry</t>
  </si>
  <si>
    <t>A39</t>
  </si>
  <si>
    <t>Valliani</t>
  </si>
  <si>
    <t>B561</t>
  </si>
  <si>
    <t>Dulce</t>
  </si>
  <si>
    <t xml:space="preserve"> 1 year after RCD - RCD got push to 9/1/21</t>
  </si>
  <si>
    <t>Purple</t>
  </si>
  <si>
    <t>A323</t>
  </si>
  <si>
    <t>Cartier</t>
  </si>
  <si>
    <t>A375</t>
  </si>
  <si>
    <t>Not yet open</t>
  </si>
  <si>
    <t>Dr. Holbert Opt</t>
  </si>
  <si>
    <t>A151</t>
  </si>
  <si>
    <t>Umai</t>
  </si>
  <si>
    <t>FC21</t>
  </si>
  <si>
    <t>Potato Corner</t>
  </si>
  <si>
    <t>A272</t>
  </si>
  <si>
    <t>Innisfree</t>
  </si>
  <si>
    <t>A52</t>
  </si>
  <si>
    <t>JD Finish</t>
  </si>
  <si>
    <t>B441</t>
  </si>
  <si>
    <t>A135</t>
  </si>
  <si>
    <t>Osim</t>
  </si>
  <si>
    <t>Balenciaga</t>
  </si>
  <si>
    <t>A230</t>
  </si>
  <si>
    <t>Hanabi Cake</t>
  </si>
  <si>
    <t>A160</t>
  </si>
  <si>
    <t>Matcha Café</t>
  </si>
  <si>
    <t>Shihlin</t>
  </si>
  <si>
    <t>B336</t>
  </si>
  <si>
    <t>Nich The Greek</t>
  </si>
  <si>
    <t>Christian Louboutin</t>
  </si>
  <si>
    <t>A221</t>
  </si>
  <si>
    <t>Ellamia</t>
  </si>
  <si>
    <t xml:space="preserve">Popeye's Chicken </t>
  </si>
  <si>
    <t xml:space="preserve"> Jell &amp; Chill</t>
  </si>
  <si>
    <t>Vancouver</t>
  </si>
  <si>
    <t>Aldo</t>
  </si>
  <si>
    <t>LLW-Trago Mexican</t>
  </si>
  <si>
    <t>Livit Mobile</t>
  </si>
  <si>
    <t>Teavana</t>
  </si>
  <si>
    <t>65452</t>
  </si>
  <si>
    <t>SOLD CENTER, no booking to match payout</t>
  </si>
  <si>
    <t>Trago Mexican Kitchen</t>
  </si>
  <si>
    <t xml:space="preserve">Blum/Cent SOLD CENTER. Working with TC to get reimbursement back from tenant. TA overpayment by TC. </t>
  </si>
  <si>
    <t>Village at Topanga</t>
  </si>
  <si>
    <t>Closet Trading Company</t>
  </si>
  <si>
    <t>Sandbox</t>
  </si>
  <si>
    <t>Maidson Reed</t>
  </si>
  <si>
    <t>Pickles &amp; Swiss</t>
  </si>
  <si>
    <t>AR offset took the amount higher than remaining balance. Terry emailed TT (Mark Keen) as of 02/18/22 to request for return.</t>
  </si>
  <si>
    <t>The Good Feet Store</t>
  </si>
  <si>
    <t>Dan</t>
  </si>
  <si>
    <t>Not opened yet. Projected opening 08/14/22 per Weston.</t>
  </si>
  <si>
    <t>Ideal Image</t>
  </si>
  <si>
    <t>UCLA</t>
  </si>
  <si>
    <t>Wheaton</t>
  </si>
  <si>
    <t>C2A</t>
  </si>
  <si>
    <t>Life of the lease, Amd1, Sec-A8</t>
  </si>
  <si>
    <t>The Fix</t>
  </si>
  <si>
    <t>P206</t>
  </si>
  <si>
    <r>
      <rPr>
        <sz val="10"/>
        <color rgb="FF0070C0"/>
        <rFont val="Arial"/>
        <family val="2"/>
      </rPr>
      <t>DISPOSE- Tenant did not request for their Final TA.</t>
    </r>
    <r>
      <rPr>
        <sz val="10"/>
        <rFont val="Arial"/>
        <family val="2"/>
      </rPr>
      <t xml:space="preserve"> 1 year after RCD</t>
    </r>
  </si>
  <si>
    <t>Party Gifts and Toys</t>
  </si>
  <si>
    <t>Meron Hair Studio</t>
  </si>
  <si>
    <t>B208B</t>
  </si>
  <si>
    <t>iSushi</t>
  </si>
  <si>
    <t>K-Mobile</t>
  </si>
  <si>
    <t>P214</t>
  </si>
  <si>
    <t>K&amp;I Cuts</t>
  </si>
  <si>
    <t>P203B</t>
  </si>
  <si>
    <t>Ardene</t>
  </si>
  <si>
    <t>Jongro BBQ</t>
  </si>
  <si>
    <t>Sydney's Burger</t>
  </si>
  <si>
    <t>933726</t>
  </si>
  <si>
    <t>P210</t>
  </si>
  <si>
    <t>Wheaton North Office</t>
  </si>
  <si>
    <t>Community Clinic</t>
  </si>
  <si>
    <t>L10</t>
  </si>
  <si>
    <t>life of the lease. Possible tenant is already opened, found manual open notice in sharepoint but move-in date is missing in E1, emailed LAB for clarification</t>
  </si>
  <si>
    <t>Wheaton South Office</t>
  </si>
  <si>
    <t>Virant Diagnostics</t>
  </si>
  <si>
    <t xml:space="preserve">Booked in November </t>
  </si>
  <si>
    <t>CMF Santa Anita RM</t>
  </si>
  <si>
    <t>Nunu &amp; Mi Magic</t>
  </si>
  <si>
    <t>CMF MP S Macy's</t>
  </si>
  <si>
    <t>Ashley Furniture</t>
  </si>
  <si>
    <t>Mainplace TRS - Centennial eff 12/18/15</t>
  </si>
  <si>
    <t>Broward</t>
  </si>
  <si>
    <t>Express/Express Men</t>
  </si>
  <si>
    <t>Life of the Lease, Amd 1 - Sec A1</t>
  </si>
  <si>
    <r>
      <rPr>
        <sz val="10"/>
        <color rgb="FF0070C0"/>
        <rFont val="Arial"/>
        <family val="2"/>
      </rPr>
      <t xml:space="preserve">DO NOT DISPOSE- Tenant requested on 5/5/17. Tenant is silent and  have not provided their required documents. </t>
    </r>
    <r>
      <rPr>
        <sz val="10"/>
        <rFont val="Arial"/>
        <family val="2"/>
      </rPr>
      <t>Per TC, processing, pending additional docs from TT. 4/26/18- TT has gone silent, we are waiting on add'l documents -JG. Followed up with Tenant, no response. JG 5.23.18. TT requested the TA in a timely manner, they are still alouted the TA -JG 6/5/18. 7/09/18- TT silent JG. 8/27/18- sent another email to TT w/list of required documents needed JG</t>
    </r>
  </si>
  <si>
    <t>Modern Masters</t>
  </si>
  <si>
    <t>Payless Shoesource</t>
  </si>
  <si>
    <t>AP payment- no JE booking</t>
  </si>
  <si>
    <t>Euro Beauty Salon</t>
  </si>
  <si>
    <t>107 Taste</t>
  </si>
  <si>
    <t>Journeys</t>
  </si>
  <si>
    <t>Code Ninja</t>
  </si>
  <si>
    <t>Earthbound Trading</t>
  </si>
  <si>
    <t>816818 Mission</t>
  </si>
  <si>
    <t>Knotel - 818Mission</t>
  </si>
  <si>
    <t>200/300/400/500</t>
  </si>
  <si>
    <t>World Trade Center</t>
  </si>
  <si>
    <t>Smythson</t>
  </si>
  <si>
    <t>LL2407</t>
  </si>
  <si>
    <t>Gansevoort Market</t>
  </si>
  <si>
    <t>LL2465</t>
  </si>
  <si>
    <t>Payable 60 days following expiration of third lease year</t>
  </si>
  <si>
    <t>LL4310</t>
  </si>
  <si>
    <t>Sweetgreen</t>
  </si>
  <si>
    <t>Haagen-Daz</t>
  </si>
  <si>
    <t>LL5104</t>
  </si>
  <si>
    <t>Garden State Plaza-Basis Adj</t>
  </si>
  <si>
    <t>CTI Balance Entry</t>
  </si>
  <si>
    <t>Permanent balance - working with Corp. Finance to fix it</t>
  </si>
  <si>
    <t>Garden State Plaza-Step</t>
  </si>
  <si>
    <t>Count</t>
  </si>
  <si>
    <t>Subtotal</t>
  </si>
  <si>
    <t>Grand total</t>
  </si>
  <si>
    <t>westfield</t>
  </si>
  <si>
    <t>Business
Unit</t>
  </si>
  <si>
    <t>200330 - Tenant Allowance Pay
Cumulative 12
Actual
2021</t>
  </si>
  <si>
    <t>Var</t>
  </si>
  <si>
    <t>12204 - Annapolis</t>
  </si>
  <si>
    <t>12206 - Brandon</t>
  </si>
  <si>
    <t>12211 - Century City</t>
  </si>
  <si>
    <t>12216 - Connecticut Post</t>
  </si>
  <si>
    <t>12229 - Fashion Square</t>
  </si>
  <si>
    <t>12230 - Culver City Mall LP</t>
  </si>
  <si>
    <t>12232 - Fox Valley</t>
  </si>
  <si>
    <t>12234 - Galleria at Roseville</t>
  </si>
  <si>
    <t>12235 - Garden State Plaza</t>
  </si>
  <si>
    <t>12240 - Hawthorn</t>
  </si>
  <si>
    <t>12247 - Mainplace</t>
  </si>
  <si>
    <t>12248 - Meriden</t>
  </si>
  <si>
    <t>12253 - Mission Valley</t>
  </si>
  <si>
    <t>12254 - Mission Valley West</t>
  </si>
  <si>
    <t>12255 - Montgomery</t>
  </si>
  <si>
    <t>12263 - North County</t>
  </si>
  <si>
    <t>12266 - Oakridge</t>
  </si>
  <si>
    <t>12267 - Old Orchard</t>
  </si>
  <si>
    <t>12268 - Old Orchard Office</t>
  </si>
  <si>
    <t>12269 - Palm Desert</t>
  </si>
  <si>
    <t>12271 - Plaza Bonita</t>
  </si>
  <si>
    <t>12277 - San Francisco Emporium</t>
  </si>
  <si>
    <t>12279 - San Francisco Shopping Centre</t>
  </si>
  <si>
    <t>12280 - Santa Anita</t>
  </si>
  <si>
    <t>12285 - South Shore</t>
  </si>
  <si>
    <t>12286 - Southcenter</t>
  </si>
  <si>
    <t>12287 - Siesta Key</t>
  </si>
  <si>
    <t>12288 - Southlake</t>
  </si>
  <si>
    <t>12291 - Topanga</t>
  </si>
  <si>
    <t>12292 - Trumbull</t>
  </si>
  <si>
    <t>12293 - UTC</t>
  </si>
  <si>
    <t>12294 - Valencia</t>
  </si>
  <si>
    <t>12295 - Valencia North</t>
  </si>
  <si>
    <t>12296 - Valencia South</t>
  </si>
  <si>
    <t>12298 - Vancouver</t>
  </si>
  <si>
    <t>12303 - Village at Westfield Topanga</t>
  </si>
  <si>
    <t>12305 - Wheaton</t>
  </si>
  <si>
    <t>12306 - Wheaton North Office</t>
  </si>
  <si>
    <t>12307 - Wheaton South Office</t>
  </si>
  <si>
    <t>12315 - CMF Santa Anita RM</t>
  </si>
  <si>
    <t>12317 - CMF MP S Macy's</t>
  </si>
  <si>
    <t>12337 - World Trade Center</t>
  </si>
  <si>
    <t>13010 - Garden State Plaza-Basis Adj</t>
  </si>
  <si>
    <t>13011 - Garden State Plaza-Step</t>
  </si>
  <si>
    <t>Accounting Region</t>
  </si>
  <si>
    <t>E2</t>
  </si>
  <si>
    <t>W1</t>
  </si>
  <si>
    <t>W2</t>
  </si>
  <si>
    <t>E1</t>
  </si>
  <si>
    <t>Grand Total</t>
  </si>
  <si>
    <t>Object
Account</t>
  </si>
  <si>
    <t>Subsidiary</t>
  </si>
  <si>
    <t>Batch
Type</t>
  </si>
  <si>
    <t>Reverse or Void</t>
  </si>
  <si>
    <t>Batch
Number</t>
  </si>
  <si>
    <t>Document
Number</t>
  </si>
  <si>
    <t>Document
Type</t>
  </si>
  <si>
    <t>Period
Number</t>
  </si>
  <si>
    <t>Year
(Short)</t>
  </si>
  <si>
    <t>Actual
Amount</t>
  </si>
  <si>
    <t>Asset
Number</t>
  </si>
  <si>
    <t>Service Date</t>
  </si>
  <si>
    <t>Batch
Date</t>
  </si>
  <si>
    <t>Remark</t>
  </si>
  <si>
    <t>JE
Explanation</t>
  </si>
  <si>
    <t>Invoice Number</t>
  </si>
  <si>
    <t>Tenant / Vendor Name</t>
  </si>
  <si>
    <t>Subledger</t>
  </si>
  <si>
    <t>Subledger Description</t>
  </si>
  <si>
    <t>Reference
1</t>
  </si>
  <si>
    <t>Reference
2</t>
  </si>
  <si>
    <t>Reference
3</t>
  </si>
  <si>
    <t>Description</t>
  </si>
  <si>
    <t>Post Status</t>
  </si>
  <si>
    <t>Trans.
Originator</t>
  </si>
  <si>
    <t>User
ID</t>
  </si>
  <si>
    <t>Account
Number</t>
  </si>
  <si>
    <t>Settlement Batch #</t>
  </si>
  <si>
    <t>I/C Status</t>
  </si>
  <si>
    <t>12235</t>
  </si>
  <si>
    <t>200330</t>
  </si>
  <si>
    <t>V</t>
  </si>
  <si>
    <t>PV</t>
  </si>
  <si>
    <t>00221912</t>
  </si>
  <si>
    <t>TA - Pinstripes - GSP</t>
  </si>
  <si>
    <t>TA-PINSTRIPES-123121-P#5</t>
  </si>
  <si>
    <t>Pinstripes, Inc.</t>
  </si>
  <si>
    <t>L.00935847 - Pinstripes - SHELL</t>
  </si>
  <si>
    <t>Tenant Allowance Pay</t>
  </si>
  <si>
    <t>Posted</t>
  </si>
  <si>
    <t>BASWAREUS</t>
  </si>
  <si>
    <t>SCHED</t>
  </si>
  <si>
    <t>12235.200330</t>
  </si>
  <si>
    <t>TA-PINSTRIPERS-GSP#611022</t>
  </si>
  <si>
    <t>12267</t>
  </si>
  <si>
    <t>G</t>
  </si>
  <si>
    <t>R</t>
  </si>
  <si>
    <t>00221209</t>
  </si>
  <si>
    <t>TA - American Eagle and/or Aer</t>
  </si>
  <si>
    <t>GL Reclass 12/28/2021</t>
  </si>
  <si>
    <t>L.00934940 - Aerie</t>
  </si>
  <si>
    <t>GTSE2</t>
  </si>
  <si>
    <t>JISON2</t>
  </si>
  <si>
    <t>12267.200330</t>
  </si>
  <si>
    <t>12286</t>
  </si>
  <si>
    <t>00221201</t>
  </si>
  <si>
    <t>TA - Mochinut - SCR</t>
  </si>
  <si>
    <t>TA-MOCHINUT-SCR 121321</t>
  </si>
  <si>
    <t>Salt &amp; Light South LLC</t>
  </si>
  <si>
    <t>L.00934836 - Mochinut</t>
  </si>
  <si>
    <t>12286.200330</t>
  </si>
  <si>
    <t>2B</t>
  </si>
  <si>
    <t>RD</t>
  </si>
  <si>
    <t>TAP AR Offset</t>
  </si>
  <si>
    <t>Kung Fu Wrap LP</t>
  </si>
  <si>
    <t>U.588 - fka E588; Crepe Legend</t>
  </si>
  <si>
    <t>JE</t>
  </si>
  <si>
    <t>00223565</t>
  </si>
  <si>
    <t>TA-Popeyes U#FC8</t>
  </si>
  <si>
    <t>L.00937941 - Popeye's C - SHELL/Unitoverlap</t>
  </si>
  <si>
    <t>08-02</t>
  </si>
  <si>
    <t>JGOMEZ</t>
  </si>
  <si>
    <t>12293</t>
  </si>
  <si>
    <t>Happy Lemon</t>
  </si>
  <si>
    <t>Green Lemon LLC</t>
  </si>
  <si>
    <t>U.9034</t>
  </si>
  <si>
    <t>12293.200330</t>
  </si>
  <si>
    <t>12204</t>
  </si>
  <si>
    <t>TA - RETRO FITNESS - ANN  (ADD</t>
  </si>
  <si>
    <t>TA-RETROFITNES-ANN-120521</t>
  </si>
  <si>
    <t>KIS Fitness, Inc.</t>
  </si>
  <si>
    <t>L.00929104 - Retro Fitness</t>
  </si>
  <si>
    <t>12204.200330</t>
  </si>
  <si>
    <t>00223550</t>
  </si>
  <si>
    <t>TA_Live Arts Maryland_U# 1810</t>
  </si>
  <si>
    <t>L.00933709 - Live Arts Maryland</t>
  </si>
  <si>
    <t>10-02</t>
  </si>
  <si>
    <t>JUSANCHEZ2</t>
  </si>
  <si>
    <t>12285</t>
  </si>
  <si>
    <t>00222806</t>
  </si>
  <si>
    <t>TA - AMERICAN EAGLE OUTFITTERS</t>
  </si>
  <si>
    <t>aerie</t>
  </si>
  <si>
    <t>TA-AMEREAGAERI-SSH-102021</t>
  </si>
  <si>
    <t>AE Outfitters Retail Co.</t>
  </si>
  <si>
    <t>L.00934739 - Aerie</t>
  </si>
  <si>
    <t>12285.200330</t>
  </si>
  <si>
    <t>00223558</t>
  </si>
  <si>
    <t>TA - Rue 21 - SSH</t>
  </si>
  <si>
    <t>rue21 etc!</t>
  </si>
  <si>
    <t>TA-RUE21-SSH-123021</t>
  </si>
  <si>
    <t>New rue21, LLC</t>
  </si>
  <si>
    <t>L.00071292 - rue21 etc!</t>
  </si>
  <si>
    <t>12211</t>
  </si>
  <si>
    <t>00222644</t>
  </si>
  <si>
    <t>TA_CAMP_U#2570</t>
  </si>
  <si>
    <t>Commission Fee &amp; TA Accruals</t>
  </si>
  <si>
    <t>L.00936158 - CAMP</t>
  </si>
  <si>
    <t>CAO</t>
  </si>
  <si>
    <t>12211.200330</t>
  </si>
  <si>
    <t>00223135</t>
  </si>
  <si>
    <t>TA_Pudu Pudu_U#2625</t>
  </si>
  <si>
    <t>L.00932430 - Pudu Pudu - Pudding Makers</t>
  </si>
  <si>
    <t>00222955</t>
  </si>
  <si>
    <t>TA-Cafe Landwer-CEN</t>
  </si>
  <si>
    <t>Cafe Landwer</t>
  </si>
  <si>
    <t>TA-CAFE LANDWER-102721</t>
  </si>
  <si>
    <t>Beverly Hills Cafe Inc.</t>
  </si>
  <si>
    <t>L.00931305 - Cafe Landwer</t>
  </si>
  <si>
    <t>TA-CAMP-CEN</t>
  </si>
  <si>
    <t>CAMP</t>
  </si>
  <si>
    <t>TA-CAMP-120721</t>
  </si>
  <si>
    <t>Camp Stores LA LLC</t>
  </si>
  <si>
    <t>00222606</t>
  </si>
  <si>
    <t>TA Rhone CEN</t>
  </si>
  <si>
    <t>TA-RHONE-120821</t>
  </si>
  <si>
    <t>Rhone Retail USA, LLC</t>
  </si>
  <si>
    <t>L.00936368 - Rhone</t>
  </si>
  <si>
    <t>00221752</t>
  </si>
  <si>
    <t>TA-Little Kitchen Academy-CEN</t>
  </si>
  <si>
    <t>TA-LITTLE KITCHEN-102921</t>
  </si>
  <si>
    <t>Little Kitchen Academy Century City LLC</t>
  </si>
  <si>
    <t>L.00934720 - Little Kitchen Academy</t>
  </si>
  <si>
    <t>00222803</t>
  </si>
  <si>
    <t>TA - Bearfruit - CEN</t>
  </si>
  <si>
    <t>TA BEARFRUIT-120321</t>
  </si>
  <si>
    <t>Amnisflux LLC</t>
  </si>
  <si>
    <t>L.00936290 - Bearfruit Jewelry</t>
  </si>
  <si>
    <t>00222946</t>
  </si>
  <si>
    <t>TA-Showfields-CEN</t>
  </si>
  <si>
    <t>Showfields - New York City Mia</t>
  </si>
  <si>
    <t>TA-SHOWFIELDS-112321</t>
  </si>
  <si>
    <t>Showfields Magic Box LLC</t>
  </si>
  <si>
    <t>L.00937118 - Showfields New York City Miami</t>
  </si>
  <si>
    <t>00223575</t>
  </si>
  <si>
    <t>TA_Chanel_U#1870</t>
  </si>
  <si>
    <t>TA Accrual</t>
  </si>
  <si>
    <t>L.00937864 - Chanel - SHELL</t>
  </si>
  <si>
    <t>12230</t>
  </si>
  <si>
    <t>00221746</t>
  </si>
  <si>
    <t>TA-Savage-CUL</t>
  </si>
  <si>
    <t>Savage X-Fenty</t>
  </si>
  <si>
    <t>TA-SAVAGEX-120821</t>
  </si>
  <si>
    <t>Savage X Retail, LLC</t>
  </si>
  <si>
    <t>L.00935112 - Savage X-Fenty</t>
  </si>
  <si>
    <t>12230.200330</t>
  </si>
  <si>
    <t>00221747</t>
  </si>
  <si>
    <t>TA-Shake Shack-CUL</t>
  </si>
  <si>
    <t>TA-SHAKESHACK-010722</t>
  </si>
  <si>
    <t>Shake Shack California LLC</t>
  </si>
  <si>
    <t>L.00934276 - Shake Shack</t>
  </si>
  <si>
    <t>12234</t>
  </si>
  <si>
    <t>00221832</t>
  </si>
  <si>
    <t>TA-Fabletics-ROS</t>
  </si>
  <si>
    <t>TA-FABLETICS-061621</t>
  </si>
  <si>
    <t>JF Retail Services, LLC</t>
  </si>
  <si>
    <t>L.00935273 - Fabletics</t>
  </si>
  <si>
    <t>12234.200330</t>
  </si>
  <si>
    <t>12277</t>
  </si>
  <si>
    <t>00223128</t>
  </si>
  <si>
    <t>TA_Zero&amp;, Hanabi Cakes U#14</t>
  </si>
  <si>
    <t>L.00937074 - Zero&amp;, 0&amp;, Hanabi,Hanabi</t>
  </si>
  <si>
    <t>JILEE</t>
  </si>
  <si>
    <t>12277.200330</t>
  </si>
  <si>
    <t>00220738</t>
  </si>
  <si>
    <t>TA Reversal_Asset#220738_U209</t>
  </si>
  <si>
    <t>L.00932100 - Chalo</t>
  </si>
  <si>
    <t>12279</t>
  </si>
  <si>
    <t>00216335</t>
  </si>
  <si>
    <t>TA-Oak+Fort-SFC</t>
  </si>
  <si>
    <t>TA-OAK AND FORT-031621</t>
  </si>
  <si>
    <t>Oak &amp; Fort California, LLC</t>
  </si>
  <si>
    <t>L.00929988 - Oak + Fort</t>
  </si>
  <si>
    <t>12279.200330</t>
  </si>
  <si>
    <t>12291</t>
  </si>
  <si>
    <t>00221920</t>
  </si>
  <si>
    <t>TA-Louis Vuitton-TOP</t>
  </si>
  <si>
    <t>TA-LOUIS VUITTON-120121#3</t>
  </si>
  <si>
    <t>Louis Vuitton USA Inc.</t>
  </si>
  <si>
    <t>L.00243731 - Louis Vuitton</t>
  </si>
  <si>
    <t>12291.200330</t>
  </si>
  <si>
    <t>12297</t>
  </si>
  <si>
    <t>00222682</t>
  </si>
  <si>
    <t>TA Lululemon VLF</t>
  </si>
  <si>
    <t>TA-LULULEMON-112521#FINAL</t>
  </si>
  <si>
    <t>lululemon USA INC.</t>
  </si>
  <si>
    <t>L.00936167 - lululemon</t>
  </si>
  <si>
    <t>12297.200330</t>
  </si>
  <si>
    <t>00223075</t>
  </si>
  <si>
    <t>TA - Nick The Greek - VLF</t>
  </si>
  <si>
    <t>Nick The Greek</t>
  </si>
  <si>
    <t>TA-NICK THE GREEK-112321</t>
  </si>
  <si>
    <t>Nick The Greek Valley Fair LLC</t>
  </si>
  <si>
    <t>L.00937119 - Nick The Greek</t>
  </si>
  <si>
    <t>00223102</t>
  </si>
  <si>
    <t>TA C.Louboutin U#A221</t>
  </si>
  <si>
    <t>TA Christian Louboutin A221</t>
  </si>
  <si>
    <t>L.00934146 - Christian Louboutin</t>
  </si>
  <si>
    <t>MGALVEZ</t>
  </si>
  <si>
    <t>TA Nick the Greek U#FC8</t>
  </si>
  <si>
    <t>00223130</t>
  </si>
  <si>
    <t>TA Ellamia U#1510</t>
  </si>
  <si>
    <t>L.00937240 - EllaMia- SHELL</t>
  </si>
  <si>
    <t>00223134</t>
  </si>
  <si>
    <t>TA Popeye's Chicken FC10</t>
  </si>
  <si>
    <t>L.00937744 - Popeye's Chicken &amp; Biscuits</t>
  </si>
  <si>
    <t>00223574</t>
  </si>
  <si>
    <t>TA - Jell &amp; Chill U#9266</t>
  </si>
  <si>
    <t>TA - Jell &amp; Chill U#9265</t>
  </si>
  <si>
    <t>L.00937833 - Jell &amp; Chill</t>
  </si>
  <si>
    <t>12229</t>
  </si>
  <si>
    <t>TA_Lovesac_U#224</t>
  </si>
  <si>
    <t>L.00064479 - Lovesac</t>
  </si>
  <si>
    <t>NJOBSON</t>
  </si>
  <si>
    <t>VSALAZAR</t>
  </si>
  <si>
    <t>12229.200330</t>
  </si>
  <si>
    <t>00223115</t>
  </si>
  <si>
    <t>JYUAN</t>
  </si>
  <si>
    <t>12266</t>
  </si>
  <si>
    <t>00223138</t>
  </si>
  <si>
    <t>TA_Just Hats_U# Y4</t>
  </si>
  <si>
    <t>L.00934759 - Just Hats</t>
  </si>
  <si>
    <t>12266.200330</t>
  </si>
  <si>
    <t>00223141</t>
  </si>
  <si>
    <t>TA_PhenixSalonSuites_U#Q3</t>
  </si>
  <si>
    <t>L.00937586 - Phenix Salon Suites- SHELL ID</t>
  </si>
  <si>
    <t>00223552</t>
  </si>
  <si>
    <t>TA_Slaters50/50_U#R4</t>
  </si>
  <si>
    <t>L.00936188 - Slaters 50/50</t>
  </si>
  <si>
    <t>12280</t>
  </si>
  <si>
    <t>00223095</t>
  </si>
  <si>
    <t>TA_KrispyRice_U#2220</t>
  </si>
  <si>
    <t>L.00937238 - Krispy Rice - SHELL</t>
  </si>
  <si>
    <t>TLESTARI</t>
  </si>
  <si>
    <t>12280.200330</t>
  </si>
  <si>
    <t>00223096</t>
  </si>
  <si>
    <t>TA_Fabletics_U#D6A</t>
  </si>
  <si>
    <t>L.00937019 - Fabletics - SHELL</t>
  </si>
  <si>
    <t>00223543</t>
  </si>
  <si>
    <t>TA_Valliani Jewelers_U#T56</t>
  </si>
  <si>
    <t>L.00937587 - Valliani Jewelers</t>
  </si>
  <si>
    <t>00219748</t>
  </si>
  <si>
    <t>TA - Coach U# D10</t>
  </si>
  <si>
    <t>Tenant Allowance JE SAN</t>
  </si>
  <si>
    <t>L.00930400 - Coach</t>
  </si>
  <si>
    <t>00220143</t>
  </si>
  <si>
    <t>TA - Rebag U# A17</t>
  </si>
  <si>
    <t>L.00927829 - Rebag</t>
  </si>
  <si>
    <t>TA - rue21 etc! #N03</t>
  </si>
  <si>
    <t>EVICENCIO</t>
  </si>
  <si>
    <t>BFOURIE</t>
  </si>
  <si>
    <t>12294</t>
  </si>
  <si>
    <t>00223114</t>
  </si>
  <si>
    <t>TA_POPEYES Chicken</t>
  </si>
  <si>
    <t>Popeye's Chicken. U#FC8</t>
  </si>
  <si>
    <t>L.00937656 - Popeye's Chicken &amp; Biscuits</t>
  </si>
  <si>
    <t>SSUN</t>
  </si>
  <si>
    <t>12294.200330</t>
  </si>
  <si>
    <t>TA - Allbirds - GSP</t>
  </si>
  <si>
    <t>allbirds</t>
  </si>
  <si>
    <t>TA-ALLBIRDS-GSP013122</t>
  </si>
  <si>
    <t>Allbirds, Inc.</t>
  </si>
  <si>
    <t>L.00936356 - Allbirds</t>
  </si>
  <si>
    <t>00222610</t>
  </si>
  <si>
    <t>TA-PINSTRIPES-GSP-020222</t>
  </si>
  <si>
    <t>VCORNEJO</t>
  </si>
  <si>
    <t>12253</t>
  </si>
  <si>
    <t>TA - Havana Grill - MVC</t>
  </si>
  <si>
    <t>Q1-22 TA Payable Adj</t>
  </si>
  <si>
    <t>L.00935175 - Havana Grill</t>
  </si>
  <si>
    <t>RREN</t>
  </si>
  <si>
    <t>12253.200330</t>
  </si>
  <si>
    <t>00221775</t>
  </si>
  <si>
    <t>TA-BarSiena-OOR</t>
  </si>
  <si>
    <t>TA-BARSIENA-OOR-01312022</t>
  </si>
  <si>
    <t>Bar Siena Old Orchard, LLC</t>
  </si>
  <si>
    <t>L.00934446 - Bar Siena - SHELL</t>
  </si>
  <si>
    <t>00220832</t>
  </si>
  <si>
    <t>TA-BARSIENA-OOR-02092022</t>
  </si>
  <si>
    <t>North30, LLC</t>
  </si>
  <si>
    <t>U.724 - fka CU724</t>
  </si>
  <si>
    <t>L.00930938 - Happy Lemon</t>
  </si>
  <si>
    <t>00220910</t>
  </si>
  <si>
    <t>Adj Payment &amp; AR Offset Diff</t>
  </si>
  <si>
    <t>12305</t>
  </si>
  <si>
    <t>TA - K&amp;I Cuts - WHE</t>
  </si>
  <si>
    <t>MPA CONSTRUCTION INC</t>
  </si>
  <si>
    <t>TA-MPACONSTRUC-WHE-020122</t>
  </si>
  <si>
    <t>L.00931011 - K&amp;I Cuts</t>
  </si>
  <si>
    <t>12305.200330</t>
  </si>
  <si>
    <t>00215863</t>
  </si>
  <si>
    <t>TA-LOVESAC-FAS</t>
  </si>
  <si>
    <t>TA-LOVESAC-FAS-122321</t>
  </si>
  <si>
    <t>Lovesac Company, The</t>
  </si>
  <si>
    <t>TA-Slaters5050-OAK</t>
  </si>
  <si>
    <t>TA-SLATERS5050-011822</t>
  </si>
  <si>
    <t>ARC Property Investments LLC</t>
  </si>
  <si>
    <t>TA_IKEA_U#D5</t>
  </si>
  <si>
    <t>L.00937239 - IKEA Planning Studio - SHELL</t>
  </si>
  <si>
    <t>00223567</t>
  </si>
  <si>
    <t>TA_Dr. Martens_U#T58</t>
  </si>
  <si>
    <t>L.00938047 - Dr. Martens - SHELL ID</t>
  </si>
  <si>
    <t>00223682</t>
  </si>
  <si>
    <t>TA_Marugame Udon_U#R2</t>
  </si>
  <si>
    <t>L.00938054 - Marugame Udon - SHELL ID</t>
  </si>
  <si>
    <t>00223685</t>
  </si>
  <si>
    <t>TA-Rebag-SAN</t>
  </si>
  <si>
    <t>TA-REBAG-SAN-011022</t>
  </si>
  <si>
    <t>Trendly, Inc.</t>
  </si>
  <si>
    <t>TA-Funbox-SAN</t>
  </si>
  <si>
    <t>FunBox</t>
  </si>
  <si>
    <t>TA-FUNBOX-SAN-090921</t>
  </si>
  <si>
    <t>Hallier Investments, LLC</t>
  </si>
  <si>
    <t>L.00930730 - Fun Box</t>
  </si>
  <si>
    <t>00222646</t>
  </si>
  <si>
    <t>TA-KateSpade-SAN</t>
  </si>
  <si>
    <t>Kate Spade New York</t>
  </si>
  <si>
    <t>TA-KATESPADE-SAN-021320</t>
  </si>
  <si>
    <t>Tapestry, Inc.</t>
  </si>
  <si>
    <t>L.00928993 - Kate Spade New York</t>
  </si>
  <si>
    <t>00214673</t>
  </si>
  <si>
    <t>TA - Live Arts of Maryland - A</t>
  </si>
  <si>
    <t>Live Arts Maryland</t>
  </si>
  <si>
    <t>TA-LIVEARTOFMD-ANN 020322</t>
  </si>
  <si>
    <t>Annapolis Chorale, Inc., The</t>
  </si>
  <si>
    <t>TA_Little Kitchen Aca_U#2907</t>
  </si>
  <si>
    <t>TA_Tudor_U#1937</t>
  </si>
  <si>
    <t>L.00934964 - Tudor</t>
  </si>
  <si>
    <t>00221748</t>
  </si>
  <si>
    <t>Windsor or Windsor Fashions</t>
  </si>
  <si>
    <t>Windsor Fashions, LLC</t>
  </si>
  <si>
    <t>U.H6 - fka H006, Windsor or Windsor F</t>
  </si>
  <si>
    <t>TA_ Savage X_U#A10</t>
  </si>
  <si>
    <t>Q1 2022 TA Com Accruals</t>
  </si>
  <si>
    <t>SLIU</t>
  </si>
  <si>
    <t>TA_Shake Shack_U#FC11</t>
  </si>
  <si>
    <t>TA - Capital One Café U#145</t>
  </si>
  <si>
    <t>L.00935151 - Capital One Cafe</t>
  </si>
  <si>
    <t>MMA</t>
  </si>
  <si>
    <t>00221793</t>
  </si>
  <si>
    <t>TA - Peloton U# 157</t>
  </si>
  <si>
    <t>TA-Peloton U# 157</t>
  </si>
  <si>
    <t>L.00935976 - Peloton</t>
  </si>
  <si>
    <t>00222615</t>
  </si>
  <si>
    <t>COM - Capital One Café U#145</t>
  </si>
  <si>
    <t>COM-Capital One Café U#145</t>
  </si>
  <si>
    <t>00221792</t>
  </si>
  <si>
    <t>TA - Seasons 52 - GSP</t>
  </si>
  <si>
    <t>TA-SEASONS 52-GSP#2020322</t>
  </si>
  <si>
    <t>Eddie V's Holdings, LLC</t>
  </si>
  <si>
    <t>L.00931017 - Seasons 52</t>
  </si>
  <si>
    <t>00222924</t>
  </si>
  <si>
    <t>TA - Eddie V's - GSP</t>
  </si>
  <si>
    <t>Eddie V's/Eddie V's Prime Seaf</t>
  </si>
  <si>
    <t>TA-EDDIE V'S-GSP020322</t>
  </si>
  <si>
    <t>L.00930738 - Eddie V's/Eddie V's Prime Seaf</t>
  </si>
  <si>
    <t>00222865</t>
  </si>
  <si>
    <t>TA-PINSTRIPES-GSP-PROG #8</t>
  </si>
  <si>
    <t>TA - Gucci U# 1120</t>
  </si>
  <si>
    <t>Record TA - GUCCI U# 1120</t>
  </si>
  <si>
    <t>L.00045786 - Gucci</t>
  </si>
  <si>
    <t>ASHRESTHA</t>
  </si>
  <si>
    <t>STLEE</t>
  </si>
  <si>
    <t>00223624</t>
  </si>
  <si>
    <t>TA_Psycho Bunny_U#2105</t>
  </si>
  <si>
    <t>Record TA- Psycho Bunny U#2105</t>
  </si>
  <si>
    <t>L.00933910 - Psycho Bunny</t>
  </si>
  <si>
    <t>00222673</t>
  </si>
  <si>
    <t>TA_Arena Stem_U# 2145</t>
  </si>
  <si>
    <t>Record Dev TA</t>
  </si>
  <si>
    <t>L.00932985 - Arena STEM</t>
  </si>
  <si>
    <t>00220178</t>
  </si>
  <si>
    <t>TA_Peloton_U#D6</t>
  </si>
  <si>
    <t>Q1 2022 Open Notice TA</t>
  </si>
  <si>
    <t>L.00936430 - Peloton</t>
  </si>
  <si>
    <t>00222672</t>
  </si>
  <si>
    <t>TA-ArenaSTEM-GSP-10062020</t>
  </si>
  <si>
    <t>RCL TA Invoice - Arena Stem</t>
  </si>
  <si>
    <t>PSINNER</t>
  </si>
  <si>
    <t>TA-BARSIENA-OOR PR7</t>
  </si>
  <si>
    <t>TA-BARSIENNA-OOR-PR5&amp;6</t>
  </si>
  <si>
    <t>TA-BARSIENA-OOR-021622-8</t>
  </si>
  <si>
    <t>TA - Madison Reed U#E26</t>
  </si>
  <si>
    <t>Q1 2022 CAPEX ACCRUAL</t>
  </si>
  <si>
    <t>L.00934341 - Madison Reed</t>
  </si>
  <si>
    <t>00221210</t>
  </si>
  <si>
    <t>TA_Peloton_U# J10</t>
  </si>
  <si>
    <t>Record Open Notice TA</t>
  </si>
  <si>
    <t>L.00935961 - Peloton</t>
  </si>
  <si>
    <t>00222025</t>
  </si>
  <si>
    <t>TA_Purple/Purple Matress_U#E30</t>
  </si>
  <si>
    <t>L.00936687 - Purple</t>
  </si>
  <si>
    <t>00222722</t>
  </si>
  <si>
    <t>12271</t>
  </si>
  <si>
    <t>TA-HappyLemon-PBO</t>
  </si>
  <si>
    <t>TA-HAPPYLEMON-TA-102121</t>
  </si>
  <si>
    <t>Blue Lemon LLC</t>
  </si>
  <si>
    <t>L.00934405 - Happy Lemon</t>
  </si>
  <si>
    <t>12271.200330</t>
  </si>
  <si>
    <t>00221177</t>
  </si>
  <si>
    <t>TA_El Tianguis_U#2445</t>
  </si>
  <si>
    <t>PBO Operating TA Accrual</t>
  </si>
  <si>
    <t>L.00929350 - El Tianguis</t>
  </si>
  <si>
    <t>00221895</t>
  </si>
  <si>
    <t>TA-Shake Shack-SFE</t>
  </si>
  <si>
    <t>TA-SHAKESHACK-112321</t>
  </si>
  <si>
    <t>L.00931073 - Shake Shack</t>
  </si>
  <si>
    <t>00221173</t>
  </si>
  <si>
    <t>AR offset</t>
  </si>
  <si>
    <t>TA-WUSHIIAND-SAN-022222</t>
  </si>
  <si>
    <t>Flying Fish War LLC</t>
  </si>
  <si>
    <t>L.00926489 - Wushiland</t>
  </si>
  <si>
    <t>00196863</t>
  </si>
  <si>
    <t>TA-Wushiland-SAN</t>
  </si>
  <si>
    <t>U.S6 - FunBox</t>
  </si>
  <si>
    <t>RALFARO</t>
  </si>
  <si>
    <t>U.D1 - fka D001; Papaya</t>
  </si>
  <si>
    <t>TA-Aerie U#220</t>
  </si>
  <si>
    <t>Q1 2022 CAPEX Accrual</t>
  </si>
  <si>
    <t>L.00934237 - Aerie</t>
  </si>
  <si>
    <t>00221228</t>
  </si>
  <si>
    <t>TA-Mochinut U#FC12</t>
  </si>
  <si>
    <t>TA-Golden Goose-TOP</t>
  </si>
  <si>
    <t>Golden Goose, Golden Goose Del</t>
  </si>
  <si>
    <t>TA-TOPANGA-072821</t>
  </si>
  <si>
    <t>Golden Goose LA Topanga LLC</t>
  </si>
  <si>
    <t>L.00932838 - Golden Goose</t>
  </si>
  <si>
    <t>00220764</t>
  </si>
  <si>
    <t>TA_Levis U#2072</t>
  </si>
  <si>
    <t>Q1 22 Open Notice Recon</t>
  </si>
  <si>
    <t>L.00935343 - Levi's</t>
  </si>
  <si>
    <t>YCHEN2</t>
  </si>
  <si>
    <t>00221874</t>
  </si>
  <si>
    <t>TA-Capital One Cafe U#1038</t>
  </si>
  <si>
    <t>L.00934495 - Capital One Cafe</t>
  </si>
  <si>
    <t>00222648</t>
  </si>
  <si>
    <t>12292</t>
  </si>
  <si>
    <t>TA - SUNGLASS HUT - TRU</t>
  </si>
  <si>
    <t>TA-SUNGLASSHUT-TRU-012522</t>
  </si>
  <si>
    <t>Luxottica of America Inc.</t>
  </si>
  <si>
    <t>L.00107596 - Sunglass Hut</t>
  </si>
  <si>
    <t>12292.200330</t>
  </si>
  <si>
    <t>TA - Albion - UTC</t>
  </si>
  <si>
    <t>TA-ALBION-UTC 020322</t>
  </si>
  <si>
    <t>Findlay Group, LLC</t>
  </si>
  <si>
    <t>L.00935862 - Albion</t>
  </si>
  <si>
    <t>00221915</t>
  </si>
  <si>
    <t>TA - Melissa Shoes - UTC</t>
  </si>
  <si>
    <t>Melissa Clube</t>
  </si>
  <si>
    <t>TA-MELISSASHOES/CLUBE-UTC</t>
  </si>
  <si>
    <t>Grendene USA, Inc.</t>
  </si>
  <si>
    <t>L.00934858 - Melissa Clube</t>
  </si>
  <si>
    <t>00221203</t>
  </si>
  <si>
    <t>TA - Louis Vuitton - UTC</t>
  </si>
  <si>
    <t>TA-LOUISVUITTON-UTC021822</t>
  </si>
  <si>
    <t>L.00936831 - Louis Vuitton</t>
  </si>
  <si>
    <t>00222736</t>
  </si>
  <si>
    <t>12303</t>
  </si>
  <si>
    <t>TA-Dan-VIL</t>
  </si>
  <si>
    <t>TA-DAN-011022</t>
  </si>
  <si>
    <t>Dan Topanga LLC</t>
  </si>
  <si>
    <t>L.00933908 - Dan</t>
  </si>
  <si>
    <t>12303.200330</t>
  </si>
  <si>
    <t>00222864</t>
  </si>
  <si>
    <t>TA_Ideal Image_U#1623</t>
  </si>
  <si>
    <t>L.00934618 - Ideal Image</t>
  </si>
  <si>
    <t>00222602</t>
  </si>
  <si>
    <t>TA_UCLA_U#2040</t>
  </si>
  <si>
    <t>L.00910166 - UCLA Health</t>
  </si>
  <si>
    <t>00223690</t>
  </si>
  <si>
    <t>TA-Jollibee-WHE</t>
  </si>
  <si>
    <t>Jollibee</t>
  </si>
  <si>
    <t>TA-JOLLIBEE-WHE-101121</t>
  </si>
  <si>
    <t>Honeybee Foods Corporation</t>
  </si>
  <si>
    <t>L.00931943 - Jollibee</t>
  </si>
  <si>
    <t>00221654</t>
  </si>
  <si>
    <t>TA-PINSTRIPES-9-040422</t>
  </si>
  <si>
    <t>TA_Sensual_U# 1221</t>
  </si>
  <si>
    <t>Record TA - Sensual</t>
  </si>
  <si>
    <t>L.00938018 - Sensual</t>
  </si>
  <si>
    <t>00223902</t>
  </si>
  <si>
    <t>TA-TravisMathew-OLD</t>
  </si>
  <si>
    <t>TA-TRAVISMATHEWS-040122</t>
  </si>
  <si>
    <t>TravisMathew, LLC</t>
  </si>
  <si>
    <t>L.00935470 - TravisMathew</t>
  </si>
  <si>
    <t>00221854</t>
  </si>
  <si>
    <t>TA-BARSIENA-OOR-021622-9</t>
  </si>
  <si>
    <t>TA_Pie Five Pizza_U#L15</t>
  </si>
  <si>
    <t>Record TA</t>
  </si>
  <si>
    <t>L.00935960 - Pie Five Pizza</t>
  </si>
  <si>
    <t>00221995</t>
  </si>
  <si>
    <t>TA_Capital Grille_U# N65</t>
  </si>
  <si>
    <t>Record TA - Capital Grille</t>
  </si>
  <si>
    <t>L.00938661 - The Capital Grille - SHELL</t>
  </si>
  <si>
    <t>00223900</t>
  </si>
  <si>
    <t>TA_Riley Rose_U#1545</t>
  </si>
  <si>
    <t>4-22 TA Payable Cleanup</t>
  </si>
  <si>
    <t>L.00923414 - Riley Rose</t>
  </si>
  <si>
    <t>00191234</t>
  </si>
  <si>
    <t>TA_General Nutrition Ce_U#1025</t>
  </si>
  <si>
    <t>L.00923996 - GNC Live Well</t>
  </si>
  <si>
    <t>00194932</t>
  </si>
  <si>
    <t>TA-Dr. Martens Airwair U#1150</t>
  </si>
  <si>
    <t>L.00936345 - Dr. Martens</t>
  </si>
  <si>
    <t>00222655</t>
  </si>
  <si>
    <t>TA_Silverlake Ramen_U# E7</t>
  </si>
  <si>
    <t>04-22 TA Accruals</t>
  </si>
  <si>
    <t>L.00936083 - Silverlake Ramen</t>
  </si>
  <si>
    <t>00222558</t>
  </si>
  <si>
    <t>TA_Louis Vuitton_U# 2500</t>
  </si>
  <si>
    <t>TA - Retro Fitness U# 1330</t>
  </si>
  <si>
    <t>RBARRY</t>
  </si>
  <si>
    <t>00214849</t>
  </si>
  <si>
    <t>12206</t>
  </si>
  <si>
    <t>TA_Somnis Sleep_U#424</t>
  </si>
  <si>
    <t>TA_Somnis Sleep_U#424 Clean Up</t>
  </si>
  <si>
    <t>L.00927768 - Somnis Sleep Systems</t>
  </si>
  <si>
    <t>12206.200330</t>
  </si>
  <si>
    <t>00211701</t>
  </si>
  <si>
    <t>12290</t>
  </si>
  <si>
    <t>Cln up Sunrise Foreclosure</t>
  </si>
  <si>
    <t>TMANDHLAZI</t>
  </si>
  <si>
    <t>12290.200330</t>
  </si>
  <si>
    <t>L.00034711 - Forever 21</t>
  </si>
  <si>
    <t>L.00044097 - Threading Station, The</t>
  </si>
  <si>
    <t>L.00045185 - Haagen-Dazs</t>
  </si>
  <si>
    <t>L.00046319 - Metro PCS</t>
  </si>
  <si>
    <t>L.00047725 - Perfume Plus</t>
  </si>
  <si>
    <t>L.00058539 - Tokyo Max</t>
  </si>
  <si>
    <t>L.00063219 - Black Finn American Grille</t>
  </si>
  <si>
    <t>L.00072360 - Wireless Champs</t>
  </si>
  <si>
    <t>L.00103438 - City Source</t>
  </si>
  <si>
    <t>L.00902787 - Windsor or Windsor Fashions</t>
  </si>
  <si>
    <t>L.00905854 - A'Gaci &amp; O'Shoes</t>
  </si>
  <si>
    <t>L.00908865 - Cell Doc</t>
  </si>
  <si>
    <t>L.00913558 - American Dog Club</t>
  </si>
  <si>
    <t>L.00916077 - Rodizio Grill- The Braz</t>
  </si>
  <si>
    <t>L.00923373 - Rancho Jubile</t>
  </si>
  <si>
    <t>L.00923917 - Stewart's All-American</t>
  </si>
  <si>
    <t>U.1045 - fr 187 &amp; 185</t>
  </si>
  <si>
    <t>U.1225 - P1-3/5/20</t>
  </si>
  <si>
    <t>U.1240 - P1-3/5/20; Anne Fontaine</t>
  </si>
  <si>
    <t>U.1250 - DEV</t>
  </si>
  <si>
    <t>U.1270</t>
  </si>
  <si>
    <t>U.1327 - Demising 1325,1323,1320,1315</t>
  </si>
  <si>
    <t>U.2250 - P2-11/16/17; Cotton On</t>
  </si>
  <si>
    <t>U.9145</t>
  </si>
  <si>
    <t>U.9147 - new</t>
  </si>
  <si>
    <t>U.FC001A - nka FC1A</t>
  </si>
  <si>
    <t>TA-Ardene-Wheaton</t>
  </si>
  <si>
    <t>TA-ARDENE-WHE-032521</t>
  </si>
  <si>
    <t>L.00933907 - Ardene</t>
  </si>
  <si>
    <t>00220820</t>
  </si>
  <si>
    <t>TA_American Girl_U#2980</t>
  </si>
  <si>
    <t>L.00937989 - American Girl - SHELL ID</t>
  </si>
  <si>
    <t>00223905</t>
  </si>
  <si>
    <t>AR Offset</t>
  </si>
  <si>
    <t>TA-HRB-CEN-012120</t>
  </si>
  <si>
    <t>The HRB Experience, LLC</t>
  </si>
  <si>
    <t>L.00928747 - HRB</t>
  </si>
  <si>
    <t>00214851</t>
  </si>
  <si>
    <t>TA-HRB-CEN</t>
  </si>
  <si>
    <t>TA - Warby Parker U# 159</t>
  </si>
  <si>
    <t>TA-Warby Parker U#159</t>
  </si>
  <si>
    <t>L.00937981 - Warby Parker</t>
  </si>
  <si>
    <t>00223631</t>
  </si>
  <si>
    <t>RCL COM to corr accounts</t>
  </si>
  <si>
    <t>TA_Amazon Go_U#7</t>
  </si>
  <si>
    <t>Amazon Go TA Reverse</t>
  </si>
  <si>
    <t>L.00927745 - Amazon Go</t>
  </si>
  <si>
    <t>00215071</t>
  </si>
  <si>
    <t>AmazonGo TA Lease# Correction</t>
  </si>
  <si>
    <t>L.00906357 - Amazon</t>
  </si>
  <si>
    <t>TA-Psycho Bunny-SFC</t>
  </si>
  <si>
    <t>TA-PSYCHOBUNNY-SFC-031422</t>
  </si>
  <si>
    <t>Bunny Retail Limited Partnership</t>
  </si>
  <si>
    <t>L.00934349 - Psycho Bunny</t>
  </si>
  <si>
    <t>00221780</t>
  </si>
  <si>
    <t>Miniso Depot Topanga LLC</t>
  </si>
  <si>
    <t>U.2102 - Miniso</t>
  </si>
  <si>
    <t>TA-Osim-VLF</t>
  </si>
  <si>
    <t>TA-OSIM-092821</t>
  </si>
  <si>
    <t>West Growth Holding, Inc.</t>
  </si>
  <si>
    <t>L.00933858 - Osim</t>
  </si>
  <si>
    <t>00222685</t>
  </si>
  <si>
    <t>TA-Dr Holbert-VLF</t>
  </si>
  <si>
    <t>Dr. Holbert Optometrist</t>
  </si>
  <si>
    <t>TA-DRHOLBERT-VLF-712121</t>
  </si>
  <si>
    <t>Jeffrey A. Holbert, OD</t>
  </si>
  <si>
    <t>L.00111727 - Dr. Holbert Optometrist</t>
  </si>
  <si>
    <t>TA-NordstromRack-Oak</t>
  </si>
  <si>
    <t>TA-NORDSTROMRACK-072221</t>
  </si>
  <si>
    <t>Nordstrom, Inc.</t>
  </si>
  <si>
    <t>L.00044438 - Nordstrom Rack</t>
  </si>
  <si>
    <t>00196860</t>
  </si>
  <si>
    <t>Salon Republic, LLC</t>
  </si>
  <si>
    <t>U.175 - fka 0175; Ardene</t>
  </si>
  <si>
    <t>BOT Status</t>
  </si>
  <si>
    <t>Lease begin date</t>
  </si>
  <si>
    <t>TA-Purple-Mont</t>
  </si>
  <si>
    <t>Purple/Purple Mattress</t>
  </si>
  <si>
    <t>TA-PURPLE-MON-4.20.22</t>
  </si>
  <si>
    <t>Purple Innovation, LLC</t>
  </si>
  <si>
    <t>L.00937819 - Purple</t>
  </si>
  <si>
    <t>TA-FivePiePizza-OLD</t>
  </si>
  <si>
    <t>TA-PIEFIVEPIZZA-OLD-41322</t>
  </si>
  <si>
    <t>Skokie Pizza LLC</t>
  </si>
  <si>
    <t>TA - Hui Lau Shan - SCR</t>
  </si>
  <si>
    <t>TA-HUILAUSHAN-SCR-041422</t>
  </si>
  <si>
    <t>HLS Seattle LLC</t>
  </si>
  <si>
    <t>L.00933796 - Hui Lau Shan</t>
  </si>
  <si>
    <t>TA-Kings Den Barber U#2310</t>
  </si>
  <si>
    <t>L.00935959 - Kings Den</t>
  </si>
  <si>
    <t>MBOSKA</t>
  </si>
  <si>
    <t>TA-PuraVida-UTC</t>
  </si>
  <si>
    <t>Pura Vida Live Free</t>
  </si>
  <si>
    <t>TA-PURAVIDA-UTC-042022</t>
  </si>
  <si>
    <t>Creative Genius, LLC</t>
  </si>
  <si>
    <t>L.00934894 - Pura Vida Live Free</t>
  </si>
  <si>
    <t>TA - Popeye's PO.446</t>
  </si>
  <si>
    <t>TA Popeye's PO.446</t>
  </si>
  <si>
    <t>L.00937415 - Popeye's Chicken &amp; Biscuits</t>
  </si>
  <si>
    <t>TA - SUNGLASS HUT Payment U#20</t>
  </si>
  <si>
    <t>TA - SUNGLASS HUT</t>
  </si>
  <si>
    <t>TA-WarbyParker-ROS</t>
  </si>
  <si>
    <t>TA-WARBY PARKER-4112022</t>
  </si>
  <si>
    <t>Warby Parker Retail, Inc.</t>
  </si>
  <si>
    <t>TA - Umai Savory HotDogs U#FE7</t>
  </si>
  <si>
    <t>SFC Capex Cleanup</t>
  </si>
  <si>
    <t>L.00928873 - Umai Savory Hot Dogs</t>
  </si>
  <si>
    <t>TA-Ted Baker-SFC</t>
  </si>
  <si>
    <t>Ted Baker London</t>
  </si>
  <si>
    <t>TA-TEDBAKER-SFC-111919</t>
  </si>
  <si>
    <t>Ted Baker Limited</t>
  </si>
  <si>
    <t>L.00923997 - Ted Baker London</t>
  </si>
  <si>
    <t>TA-Boarders-TOP</t>
  </si>
  <si>
    <t>TA-BOARDERSSPORTS-031820</t>
  </si>
  <si>
    <t>Boarders Sports, Inc.</t>
  </si>
  <si>
    <t>L.00064056 - Boarders</t>
  </si>
  <si>
    <t>TA-Christian Louboutin-VLF</t>
  </si>
  <si>
    <t>TA-CHRISTIANLOUBOUTIN-VLF</t>
  </si>
  <si>
    <t>Christian Louboutin, L.L.C.</t>
  </si>
  <si>
    <t>TA_Dan_U#1595</t>
  </si>
  <si>
    <t>Q2 22 TA Accr</t>
  </si>
  <si>
    <t>YCHEN</t>
  </si>
  <si>
    <t>Rcl TA Pickles &amp; Swiss Overpay</t>
  </si>
  <si>
    <t>U.1030 - Created from 1028</t>
  </si>
  <si>
    <t>TA_Shiekh Shoes_U#1097</t>
  </si>
  <si>
    <t>TA_Shiekh Shoes. U#1097</t>
  </si>
  <si>
    <t>L.00115966 - Shiekh Shoes</t>
  </si>
  <si>
    <t>TA_Bitter Root Pottery_U#2500</t>
  </si>
  <si>
    <t>TA_Bitter Root Pottery. U#2500</t>
  </si>
  <si>
    <t>L.00914825 - Bitter Root Pottery</t>
  </si>
  <si>
    <t>TA_House of Bounce. U#2313</t>
  </si>
  <si>
    <t>L.00920327 - House of Bounce</t>
  </si>
  <si>
    <t>New Asset</t>
  </si>
  <si>
    <t>00937819</t>
  </si>
  <si>
    <t>BOT has added the new tanent</t>
  </si>
  <si>
    <t>00935959</t>
  </si>
  <si>
    <t>00937415</t>
  </si>
  <si>
    <t>00107596</t>
  </si>
  <si>
    <t>12297 - Valley Fair</t>
  </si>
  <si>
    <t>200330 - Tenant Allowance Pay
Period 5
Actual
2022</t>
  </si>
  <si>
    <t>200330 - Tenant Allowance Pay
Cumulative 5
Actual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</si>
</sst>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F800]dddd\,\ mmmm\ dd\,\ yyyy"/>
    <numFmt numFmtId="165" formatCode="mm/dd/yyyy"/>
    <numFmt numFmtId="166" formatCode="#,##0.00;\(#,##0.00\)"/>
  </numFmts>
  <fonts count="25">
    <font>
      <sz val="11"/>
      <color theme="1"/>
      <name val="Calibri"/>
      <family val="2"/>
      <scheme val="minor"/>
    </font>
    <font>
      <sz val="11"/>
      <color theme="1"/>
      <name val="Calibri"/>
      <family val="2"/>
      <scheme val="minor"/>
    </font>
    <font>
      <sz val="10"/>
      <name val="Arial"/>
      <family val="2"/>
    </font>
    <font>
      <sz val="10"/>
      <color rgb="FF0000FF"/>
      <name val="Arial"/>
      <family val="2"/>
    </font>
    <font>
      <sz val="10"/>
      <color rgb="FFFFFFFF"/>
      <name val="Arial"/>
      <family val="2"/>
    </font>
    <font>
      <b/>
      <sz val="11"/>
      <name val="Arial"/>
      <family val="2"/>
    </font>
    <font>
      <b/>
      <sz val="10"/>
      <name val="Arial"/>
      <family val="2"/>
    </font>
    <font>
      <sz val="11"/>
      <name val="Arial"/>
      <family val="2"/>
    </font>
    <font>
      <b/>
      <sz val="11"/>
      <color indexed="10"/>
      <name val="Arial"/>
      <family val="2"/>
    </font>
    <font>
      <b/>
      <sz val="11"/>
      <color rgb="FFFFFFFF"/>
      <name val="Arial"/>
      <family val="2"/>
    </font>
    <font>
      <sz val="11"/>
      <color rgb="FF0000FF"/>
      <name val="Arial"/>
      <family val="2"/>
    </font>
    <font>
      <b/>
      <sz val="10"/>
      <color rgb="FF0000FF"/>
      <name val="Arial"/>
      <family val="2"/>
    </font>
    <font>
      <sz val="10"/>
      <color theme="1"/>
      <name val="Arial"/>
      <family val="2"/>
    </font>
    <font>
      <sz val="10"/>
      <color rgb="FF0070C0"/>
      <name val="Arial"/>
      <family val="2"/>
    </font>
    <font>
      <sz val="10"/>
      <color rgb="FFFF0000"/>
      <name val="Arial"/>
      <family val="2"/>
    </font>
    <font>
      <sz val="10"/>
      <color rgb="FF0000FF"/>
      <name val="Arial7"/>
    </font>
    <font>
      <sz val="8"/>
      <color rgb="FF000000"/>
      <name val="Microsoft Sans Serif"/>
      <family val="2"/>
    </font>
    <font>
      <b/>
      <sz val="10"/>
      <color theme="0"/>
      <name val="Arial"/>
      <family val="2"/>
    </font>
    <font>
      <sz val="10"/>
      <color theme="0"/>
      <name val="Arial"/>
      <family val="2"/>
    </font>
    <font>
      <b/>
      <sz val="8"/>
      <color rgb="FFFF0000"/>
      <name val="Microsoft Sans Serif"/>
      <family val="2"/>
    </font>
    <font>
      <b/>
      <sz val="8"/>
      <color rgb="FF000000"/>
      <name val="Microsoft Sans Serif"/>
      <family val="2"/>
    </font>
    <font>
      <b/>
      <sz val="11"/>
      <color theme="1"/>
      <name val="Calibri"/>
      <family val="2"/>
      <scheme val="minor"/>
    </font>
    <font>
      <sz val="9"/>
      <color rgb="FF000000"/>
      <name val="Open Sans"/>
      <family val="2"/>
    </font>
    <font>
      <sz val="9"/>
      <color rgb="FFFF0000"/>
      <name val="Open Sans"/>
      <family val="2"/>
    </font>
    <font>
      <b/>
      <sz val="9"/>
      <color rgb="FF000000"/>
      <name val="Microsoft Sans Serif"/>
      <family val="2"/>
    </font>
  </fonts>
  <fills count="5">
    <fill>
      <patternFill patternType="none"/>
    </fill>
    <fill>
      <patternFill patternType="gray125"/>
    </fill>
    <fill>
      <patternFill patternType="solid">
        <fgColor indexed="65"/>
        <bgColor indexed="64"/>
      </patternFill>
    </fill>
    <fill>
      <patternFill patternType="solid">
        <fgColor rgb="FFFFFFFF"/>
        <bgColor indexed="64"/>
      </patternFill>
    </fill>
    <fill>
      <patternFill patternType="solid">
        <fgColor rgb="FFFFFFC6"/>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808080"/>
      </left>
      <right style="thin">
        <color rgb="FF808080"/>
      </right>
      <top style="thin">
        <color rgb="FF808080"/>
      </top>
      <bottom style="thin">
        <color rgb="FF808080"/>
      </bottom>
      <diagonal/>
    </border>
    <border>
      <left/>
      <right/>
      <top style="thin">
        <color indexed="64"/>
      </top>
      <bottom style="double">
        <color indexed="64"/>
      </bottom>
      <diagonal/>
    </border>
    <border>
      <left style="thin">
        <color rgb="FF808080"/>
      </left>
      <right style="thin">
        <color rgb="FF808080"/>
      </right>
      <top style="thin">
        <color rgb="FF000000"/>
      </top>
      <bottom style="thin">
        <color rgb="FF808080"/>
      </bottom>
      <diagonal/>
    </border>
    <border>
      <left style="thin">
        <color rgb="FF808080"/>
      </left>
      <right style="thin">
        <color rgb="FF808080"/>
      </right>
      <top style="thin">
        <color rgb="FF808080"/>
      </top>
      <bottom/>
      <diagonal/>
    </border>
  </borders>
  <cellStyleXfs count="6">
    <xf numFmtId="0" fontId="0" fillId="0" borderId="0"/>
    <xf numFmtId="43" fontId="1" fillId="0" borderId="0" applyFont="0" applyFill="0" applyBorder="0" applyAlignment="0" applyProtection="0"/>
    <xf numFmtId="164" fontId="2" fillId="0" borderId="0"/>
    <xf numFmtId="164" fontId="2" fillId="0" borderId="0"/>
    <xf numFmtId="164" fontId="2" fillId="0" borderId="0"/>
    <xf numFmtId="164" fontId="12" fillId="0" borderId="0"/>
  </cellStyleXfs>
  <cellXfs count="136">
    <xf numFmtId="0" fontId="0" fillId="0" borderId="0" xfId="0"/>
    <xf numFmtId="0" fontId="2" fillId="0" borderId="0" xfId="0" applyFont="1"/>
    <xf numFmtId="0" fontId="3" fillId="0" borderId="0" xfId="0" applyFont="1"/>
    <xf numFmtId="164" fontId="0" fillId="0" borderId="0" xfId="0" applyNumberFormat="1" applyAlignment="1">
      <alignment horizontal="right"/>
    </xf>
    <xf numFmtId="165" fontId="0" fillId="0" borderId="0" xfId="0" applyNumberFormat="1" applyAlignment="1">
      <alignment horizontal="right"/>
    </xf>
    <xf numFmtId="49" fontId="0" fillId="0" borderId="0" xfId="0" applyNumberFormat="1" applyAlignment="1">
      <alignment horizontal="center"/>
    </xf>
    <xf numFmtId="1" fontId="0" fillId="0" borderId="0" xfId="0" applyNumberFormat="1" applyAlignment="1">
      <alignment horizontal="right"/>
    </xf>
    <xf numFmtId="14" fontId="0" fillId="0" borderId="0" xfId="0" applyNumberFormat="1" applyAlignment="1">
      <alignment horizontal="right"/>
    </xf>
    <xf numFmtId="14" fontId="4" fillId="0" borderId="0" xfId="0" applyNumberFormat="1" applyFont="1" applyAlignment="1">
      <alignment horizontal="right"/>
    </xf>
    <xf numFmtId="43" fontId="4" fillId="0" borderId="0" xfId="1" applyFont="1" applyFill="1" applyAlignment="1">
      <alignment horizontal="right"/>
    </xf>
    <xf numFmtId="39" fontId="0" fillId="0" borderId="0" xfId="0" applyNumberFormat="1"/>
    <xf numFmtId="39" fontId="0" fillId="0" borderId="0" xfId="0" applyNumberFormat="1" applyAlignment="1">
      <alignment wrapText="1"/>
    </xf>
    <xf numFmtId="14" fontId="2" fillId="0" borderId="0" xfId="0" applyNumberFormat="1" applyFont="1" applyAlignment="1">
      <alignment horizontal="right"/>
    </xf>
    <xf numFmtId="43" fontId="2" fillId="0" borderId="0" xfId="1" applyFont="1" applyFill="1" applyAlignment="1">
      <alignment horizontal="right"/>
    </xf>
    <xf numFmtId="164" fontId="5" fillId="0" borderId="0" xfId="0" applyNumberFormat="1" applyFont="1" applyAlignment="1">
      <alignment horizontal="center"/>
    </xf>
    <xf numFmtId="164" fontId="6" fillId="0" borderId="0" xfId="0" applyNumberFormat="1" applyFont="1" applyAlignment="1" applyProtection="1">
      <alignment wrapText="1"/>
      <protection locked="0"/>
    </xf>
    <xf numFmtId="0" fontId="7" fillId="0" borderId="0" xfId="0" applyFont="1"/>
    <xf numFmtId="1" fontId="7" fillId="0" borderId="2" xfId="2" applyNumberFormat="1" applyFont="1" applyBorder="1" applyAlignment="1">
      <alignment horizontal="right"/>
    </xf>
    <xf numFmtId="164" fontId="7" fillId="0" borderId="3" xfId="2" applyFont="1" applyBorder="1"/>
    <xf numFmtId="49" fontId="8" fillId="0" borderId="0" xfId="2" applyNumberFormat="1" applyFont="1" applyAlignment="1">
      <alignment horizontal="center"/>
    </xf>
    <xf numFmtId="1" fontId="7" fillId="0" borderId="0" xfId="3" applyNumberFormat="1" applyFont="1" applyAlignment="1">
      <alignment horizontal="right"/>
    </xf>
    <xf numFmtId="14" fontId="7" fillId="0" borderId="0" xfId="0" applyNumberFormat="1" applyFont="1" applyAlignment="1">
      <alignment horizontal="right"/>
    </xf>
    <xf numFmtId="43" fontId="7" fillId="0" borderId="0" xfId="1" applyFont="1" applyFill="1" applyAlignment="1">
      <alignment horizontal="right"/>
    </xf>
    <xf numFmtId="39" fontId="9" fillId="0" borderId="0" xfId="0" applyNumberFormat="1" applyFont="1" applyAlignment="1">
      <alignment horizontal="center"/>
    </xf>
    <xf numFmtId="39" fontId="7" fillId="0" borderId="0" xfId="0" applyNumberFormat="1" applyFont="1" applyAlignment="1">
      <alignment wrapText="1"/>
    </xf>
    <xf numFmtId="165" fontId="7" fillId="0" borderId="1" xfId="2" applyNumberFormat="1" applyFont="1" applyBorder="1" applyAlignment="1">
      <alignment horizontal="left"/>
    </xf>
    <xf numFmtId="164" fontId="7" fillId="0" borderId="1" xfId="2" applyFont="1" applyBorder="1"/>
    <xf numFmtId="39" fontId="7" fillId="0" borderId="0" xfId="0" applyNumberFormat="1" applyFont="1"/>
    <xf numFmtId="165" fontId="7" fillId="0" borderId="2" xfId="2" applyNumberFormat="1" applyFont="1" applyBorder="1" applyAlignment="1">
      <alignment horizontal="center"/>
    </xf>
    <xf numFmtId="14" fontId="7" fillId="0" borderId="0" xfId="0" applyNumberFormat="1" applyFont="1" applyAlignment="1">
      <alignment wrapText="1"/>
    </xf>
    <xf numFmtId="164" fontId="7" fillId="0" borderId="4" xfId="2" applyFont="1" applyBorder="1" applyAlignment="1">
      <alignment horizontal="left"/>
    </xf>
    <xf numFmtId="164" fontId="10" fillId="0" borderId="4" xfId="2" applyFont="1" applyBorder="1" applyAlignment="1">
      <alignment horizontal="left"/>
    </xf>
    <xf numFmtId="164" fontId="7" fillId="0" borderId="4" xfId="2" applyFont="1" applyBorder="1" applyAlignment="1">
      <alignment horizontal="right"/>
    </xf>
    <xf numFmtId="165" fontId="7" fillId="0" borderId="4" xfId="2" applyNumberFormat="1" applyFont="1" applyBorder="1" applyAlignment="1">
      <alignment horizontal="right"/>
    </xf>
    <xf numFmtId="164" fontId="7" fillId="0" borderId="4" xfId="2" applyFont="1" applyBorder="1"/>
    <xf numFmtId="0" fontId="6" fillId="0" borderId="0" xfId="0" applyFont="1"/>
    <xf numFmtId="1" fontId="6" fillId="0" borderId="5" xfId="0" applyNumberFormat="1" applyFont="1" applyBorder="1"/>
    <xf numFmtId="0" fontId="11" fillId="0" borderId="5" xfId="0" applyFont="1" applyBorder="1"/>
    <xf numFmtId="1" fontId="6" fillId="0" borderId="5" xfId="0" applyNumberFormat="1" applyFont="1" applyBorder="1" applyAlignment="1">
      <alignment horizontal="center"/>
    </xf>
    <xf numFmtId="165" fontId="6" fillId="0" borderId="5" xfId="0" applyNumberFormat="1" applyFont="1" applyBorder="1" applyAlignment="1">
      <alignment horizontal="center"/>
    </xf>
    <xf numFmtId="0" fontId="6" fillId="0" borderId="5" xfId="0" applyFont="1" applyBorder="1"/>
    <xf numFmtId="49" fontId="6" fillId="0" borderId="5" xfId="0" applyNumberFormat="1" applyFont="1" applyBorder="1" applyAlignment="1">
      <alignment horizontal="center"/>
    </xf>
    <xf numFmtId="14" fontId="6" fillId="0" borderId="5" xfId="0" applyNumberFormat="1" applyFont="1" applyBorder="1" applyAlignment="1">
      <alignment horizontal="center"/>
    </xf>
    <xf numFmtId="14" fontId="6" fillId="0" borderId="5" xfId="0" applyNumberFormat="1" applyFont="1" applyBorder="1" applyAlignment="1">
      <alignment horizontal="center" wrapText="1"/>
    </xf>
    <xf numFmtId="43" fontId="6" fillId="0" borderId="5" xfId="1" applyFont="1" applyFill="1" applyBorder="1" applyAlignment="1">
      <alignment horizontal="center" wrapText="1"/>
    </xf>
    <xf numFmtId="39" fontId="6" fillId="0" borderId="5" xfId="0" applyNumberFormat="1" applyFont="1" applyBorder="1" applyAlignment="1">
      <alignment horizontal="center"/>
    </xf>
    <xf numFmtId="39" fontId="6" fillId="0" borderId="0" xfId="0" applyNumberFormat="1" applyFont="1" applyAlignment="1">
      <alignment wrapText="1"/>
    </xf>
    <xf numFmtId="165" fontId="2" fillId="0" borderId="0" xfId="0" applyNumberFormat="1" applyFont="1"/>
    <xf numFmtId="49" fontId="2" fillId="0" borderId="0" xfId="0" applyNumberFormat="1" applyFont="1" applyAlignment="1">
      <alignment horizontal="center"/>
    </xf>
    <xf numFmtId="0" fontId="2" fillId="0" borderId="0" xfId="0" applyFont="1" applyAlignment="1">
      <alignment horizontal="right"/>
    </xf>
    <xf numFmtId="14" fontId="0" fillId="0" borderId="0" xfId="0" applyNumberFormat="1"/>
    <xf numFmtId="43" fontId="0" fillId="0" borderId="0" xfId="1" applyFont="1" applyFill="1"/>
    <xf numFmtId="39" fontId="2" fillId="0" borderId="0" xfId="0" applyNumberFormat="1" applyFont="1" applyAlignment="1">
      <alignment wrapText="1"/>
    </xf>
    <xf numFmtId="165" fontId="2" fillId="0" borderId="0" xfId="0" applyNumberFormat="1" applyFont="1" applyAlignment="1">
      <alignment horizontal="right"/>
    </xf>
    <xf numFmtId="0" fontId="2" fillId="0" borderId="0" xfId="0" quotePrefix="1" applyFont="1" applyAlignment="1">
      <alignment horizontal="right"/>
    </xf>
    <xf numFmtId="1" fontId="2" fillId="0" borderId="0" xfId="4" applyNumberFormat="1" applyAlignment="1">
      <alignment horizontal="right"/>
    </xf>
    <xf numFmtId="164" fontId="3" fillId="0" borderId="0" xfId="4" applyFont="1"/>
    <xf numFmtId="165" fontId="2" fillId="0" borderId="0" xfId="4" applyNumberFormat="1" applyAlignment="1">
      <alignment horizontal="right"/>
    </xf>
    <xf numFmtId="14" fontId="2" fillId="0" borderId="0" xfId="4" applyNumberFormat="1" applyAlignment="1">
      <alignment horizontal="right"/>
    </xf>
    <xf numFmtId="39" fontId="2" fillId="0" borderId="0" xfId="5" applyNumberFormat="1" applyFont="1" applyAlignment="1">
      <alignment wrapText="1"/>
    </xf>
    <xf numFmtId="39" fontId="2" fillId="0" borderId="0" xfId="4" applyNumberFormat="1" applyAlignment="1">
      <alignment wrapText="1"/>
    </xf>
    <xf numFmtId="1" fontId="2" fillId="0" borderId="0" xfId="0" applyNumberFormat="1" applyFont="1" applyAlignment="1">
      <alignment horizontal="right"/>
    </xf>
    <xf numFmtId="1" fontId="2" fillId="0" borderId="0" xfId="0" quotePrefix="1" applyNumberFormat="1" applyFont="1" applyAlignment="1">
      <alignment horizontal="right"/>
    </xf>
    <xf numFmtId="1" fontId="2" fillId="0" borderId="0" xfId="4" quotePrefix="1" applyNumberFormat="1" applyAlignment="1">
      <alignment horizontal="right"/>
    </xf>
    <xf numFmtId="39" fontId="14" fillId="0" borderId="0" xfId="0" applyNumberFormat="1" applyFont="1" applyAlignment="1">
      <alignment wrapText="1"/>
    </xf>
    <xf numFmtId="0" fontId="0" fillId="0" borderId="0" xfId="0" applyAlignment="1">
      <alignment horizontal="right"/>
    </xf>
    <xf numFmtId="1" fontId="2" fillId="0" borderId="0" xfId="1" applyNumberFormat="1" applyFont="1" applyFill="1" applyAlignment="1">
      <alignment horizontal="right"/>
    </xf>
    <xf numFmtId="14" fontId="0" fillId="0" borderId="0" xfId="1" applyNumberFormat="1" applyFont="1" applyFill="1"/>
    <xf numFmtId="14" fontId="2" fillId="0" borderId="0" xfId="0" applyNumberFormat="1" applyFont="1"/>
    <xf numFmtId="39" fontId="12" fillId="0" borderId="0" xfId="0" applyNumberFormat="1" applyFont="1" applyAlignment="1">
      <alignment wrapText="1"/>
    </xf>
    <xf numFmtId="43" fontId="0" fillId="0" borderId="0" xfId="1" applyFont="1" applyFill="1" applyBorder="1"/>
    <xf numFmtId="1" fontId="2" fillId="0" borderId="0" xfId="0" applyNumberFormat="1" applyFont="1" applyAlignment="1">
      <alignment horizontal="center"/>
    </xf>
    <xf numFmtId="14" fontId="2" fillId="0" borderId="0" xfId="0" applyNumberFormat="1" applyFont="1" applyAlignment="1">
      <alignment horizontal="center"/>
    </xf>
    <xf numFmtId="49" fontId="2" fillId="0" borderId="0" xfId="0" applyNumberFormat="1" applyFont="1" applyAlignment="1">
      <alignment wrapText="1"/>
    </xf>
    <xf numFmtId="43" fontId="14" fillId="0" borderId="0" xfId="1" applyFont="1" applyFill="1"/>
    <xf numFmtId="49" fontId="0" fillId="0" borderId="0" xfId="0" applyNumberFormat="1" applyAlignment="1">
      <alignment horizontal="right"/>
    </xf>
    <xf numFmtId="39" fontId="2" fillId="0" borderId="0" xfId="5" applyNumberFormat="1" applyFont="1" applyAlignment="1">
      <alignment horizontal="left" vertical="center" wrapText="1"/>
    </xf>
    <xf numFmtId="39" fontId="2" fillId="0" borderId="0" xfId="0" applyNumberFormat="1" applyFont="1" applyAlignment="1">
      <alignment horizontal="left" vertical="center" wrapText="1"/>
    </xf>
    <xf numFmtId="165" fontId="2" fillId="0" borderId="0" xfId="0" quotePrefix="1" applyNumberFormat="1" applyFont="1" applyAlignment="1">
      <alignment horizontal="right"/>
    </xf>
    <xf numFmtId="1" fontId="2" fillId="0" borderId="0" xfId="4" applyNumberFormat="1"/>
    <xf numFmtId="164" fontId="15" fillId="0" borderId="0" xfId="4" applyFont="1"/>
    <xf numFmtId="0" fontId="16" fillId="0" borderId="6" xfId="0" applyFont="1" applyBorder="1" applyAlignment="1">
      <alignment horizontal="left" vertical="center"/>
    </xf>
    <xf numFmtId="1" fontId="6" fillId="0" borderId="7" xfId="0" applyNumberFormat="1" applyFont="1" applyBorder="1"/>
    <xf numFmtId="164" fontId="2" fillId="0" borderId="0" xfId="0" applyNumberFormat="1" applyFont="1" applyAlignment="1">
      <alignment horizontal="right"/>
    </xf>
    <xf numFmtId="49" fontId="2" fillId="0" borderId="0" xfId="0" applyNumberFormat="1" applyFont="1"/>
    <xf numFmtId="43" fontId="2" fillId="0" borderId="0" xfId="0" applyNumberFormat="1" applyFont="1" applyAlignment="1">
      <alignment horizontal="right"/>
    </xf>
    <xf numFmtId="14" fontId="6" fillId="0" borderId="0" xfId="0" applyNumberFormat="1" applyFont="1" applyAlignment="1">
      <alignment horizontal="right"/>
    </xf>
    <xf numFmtId="43" fontId="6" fillId="0" borderId="0" xfId="1" applyFont="1" applyFill="1" applyAlignment="1">
      <alignment horizontal="right"/>
    </xf>
    <xf numFmtId="43" fontId="6" fillId="0" borderId="7" xfId="1" applyFont="1" applyFill="1" applyBorder="1"/>
    <xf numFmtId="14" fontId="17" fillId="0" borderId="0" xfId="1" applyNumberFormat="1" applyFont="1" applyFill="1" applyAlignment="1">
      <alignment horizontal="right"/>
    </xf>
    <xf numFmtId="43" fontId="17" fillId="0" borderId="0" xfId="1" applyFont="1" applyFill="1" applyAlignment="1">
      <alignment horizontal="right"/>
    </xf>
    <xf numFmtId="43" fontId="18" fillId="0" borderId="0" xfId="1" applyFont="1" applyFill="1"/>
    <xf numFmtId="43" fontId="2" fillId="0" borderId="0" xfId="0" applyNumberFormat="1" applyFont="1" applyAlignment="1">
      <alignment wrapText="1"/>
    </xf>
    <xf numFmtId="165" fontId="0" fillId="0" borderId="0" xfId="0" applyNumberFormat="1"/>
    <xf numFmtId="43" fontId="0" fillId="0" borderId="0" xfId="1" applyFont="1" applyFill="1" applyBorder="1" applyAlignment="1">
      <alignment horizontal="right"/>
    </xf>
    <xf numFmtId="166" fontId="19" fillId="0" borderId="8" xfId="0" applyNumberFormat="1" applyFont="1" applyBorder="1" applyAlignment="1">
      <alignment horizontal="right" vertical="center"/>
    </xf>
    <xf numFmtId="43" fontId="0" fillId="0" borderId="0" xfId="1" applyFont="1" applyFill="1" applyAlignment="1">
      <alignment horizontal="right"/>
    </xf>
    <xf numFmtId="0" fontId="20" fillId="2" borderId="6" xfId="0" applyFont="1" applyFill="1" applyBorder="1" applyAlignment="1">
      <alignment horizontal="center" vertical="center" wrapText="1"/>
    </xf>
    <xf numFmtId="0" fontId="20" fillId="2" borderId="1" xfId="0" applyFont="1" applyFill="1" applyBorder="1" applyAlignment="1">
      <alignment horizontal="center" vertical="center" wrapText="1"/>
    </xf>
    <xf numFmtId="40" fontId="20" fillId="0" borderId="1" xfId="0" applyNumberFormat="1" applyFont="1" applyBorder="1" applyAlignment="1">
      <alignment horizontal="center" vertical="center" wrapText="1"/>
    </xf>
    <xf numFmtId="0" fontId="16" fillId="2" borderId="6" xfId="0" applyFont="1" applyFill="1" applyBorder="1" applyAlignment="1">
      <alignment horizontal="left" vertical="center"/>
    </xf>
    <xf numFmtId="166" fontId="16" fillId="3" borderId="6" xfId="0" applyNumberFormat="1" applyFont="1" applyFill="1" applyBorder="1" applyAlignment="1">
      <alignment horizontal="right" vertical="center"/>
    </xf>
    <xf numFmtId="0" fontId="16" fillId="2" borderId="9" xfId="0" applyFont="1" applyFill="1" applyBorder="1" applyAlignment="1">
      <alignment horizontal="left" vertical="center"/>
    </xf>
    <xf numFmtId="0" fontId="20" fillId="2" borderId="8" xfId="0" applyFont="1" applyFill="1" applyBorder="1" applyAlignment="1">
      <alignment horizontal="left" vertical="center"/>
    </xf>
    <xf numFmtId="49" fontId="20" fillId="2" borderId="6" xfId="0" applyNumberFormat="1" applyFont="1" applyFill="1" applyBorder="1" applyAlignment="1">
      <alignment horizontal="center" vertical="center" wrapText="1"/>
    </xf>
    <xf numFmtId="49" fontId="16" fillId="2" borderId="6" xfId="0" applyNumberFormat="1" applyFont="1" applyFill="1" applyBorder="1" applyAlignment="1">
      <alignment horizontal="left" vertical="center"/>
    </xf>
    <xf numFmtId="14" fontId="16" fillId="2" borderId="6" xfId="0" applyNumberFormat="1" applyFont="1" applyFill="1" applyBorder="1" applyAlignment="1">
      <alignment horizontal="left" vertical="center"/>
    </xf>
    <xf numFmtId="166" fontId="16" fillId="3" borderId="9" xfId="0" applyNumberFormat="1" applyFont="1" applyFill="1" applyBorder="1" applyAlignment="1">
      <alignment horizontal="right" vertical="center"/>
    </xf>
    <xf numFmtId="14" fontId="16" fillId="2" borderId="9" xfId="0" applyNumberFormat="1" applyFont="1" applyFill="1" applyBorder="1" applyAlignment="1">
      <alignment horizontal="left" vertical="center"/>
    </xf>
    <xf numFmtId="49" fontId="16" fillId="2" borderId="9" xfId="0" applyNumberFormat="1" applyFont="1" applyFill="1" applyBorder="1" applyAlignment="1">
      <alignment horizontal="left" vertical="center"/>
    </xf>
    <xf numFmtId="49" fontId="20" fillId="2" borderId="8" xfId="0" applyNumberFormat="1" applyFont="1" applyFill="1" applyBorder="1" applyAlignment="1">
      <alignment horizontal="left" vertical="center"/>
    </xf>
    <xf numFmtId="166" fontId="20" fillId="3" borderId="8" xfId="0" applyNumberFormat="1" applyFont="1" applyFill="1" applyBorder="1" applyAlignment="1">
      <alignment horizontal="right" vertical="center"/>
    </xf>
    <xf numFmtId="49" fontId="0" fillId="0" borderId="0" xfId="0" applyNumberFormat="1"/>
    <xf numFmtId="49" fontId="2" fillId="0" borderId="0" xfId="0" applyNumberFormat="1" applyFont="1" applyAlignment="1">
      <alignment horizontal="right"/>
    </xf>
    <xf numFmtId="49" fontId="2" fillId="0" borderId="0" xfId="0" quotePrefix="1" applyNumberFormat="1" applyFont="1" applyAlignment="1">
      <alignment horizontal="right"/>
    </xf>
    <xf numFmtId="16" fontId="0" fillId="0" borderId="0" xfId="0" applyNumberFormat="1"/>
    <xf numFmtId="0" fontId="21" fillId="0" borderId="0" xfId="0" applyFont="1"/>
    <xf numFmtId="0" fontId="21" fillId="0" borderId="0" xfId="0" applyFont="1" applyAlignment="1">
      <alignment wrapText="1"/>
    </xf>
    <xf numFmtId="0" fontId="21" fillId="0" borderId="0" xfId="0" applyNumberFormat="1" applyFont="1" applyAlignment="1">
      <alignment wrapText="1"/>
    </xf>
    <xf numFmtId="0" fontId="0" fillId="0" borderId="0" xfId="0" applyNumberFormat="1"/>
    <xf numFmtId="0" fontId="21" fillId="0" borderId="0" xfId="0" applyNumberFormat="1" applyFont="1"/>
    <xf numFmtId="0" fontId="22" fillId="0" borderId="6" xfId="0" applyFont="1" applyBorder="1" applyAlignment="1">
      <alignment horizontal="left" vertical="top"/>
    </xf>
    <xf numFmtId="166" fontId="23" fillId="0" borderId="6" xfId="0" applyNumberFormat="1" applyFont="1" applyBorder="1" applyAlignment="1">
      <alignment horizontal="right" vertical="top"/>
    </xf>
    <xf numFmtId="0" fontId="22" fillId="4" borderId="6" xfId="0" applyFont="1" applyFill="1" applyBorder="1" applyAlignment="1">
      <alignment horizontal="left" vertical="top"/>
    </xf>
    <xf numFmtId="166" fontId="23" fillId="4" borderId="6" xfId="0" applyNumberFormat="1" applyFont="1" applyFill="1" applyBorder="1" applyAlignment="1">
      <alignment horizontal="right" vertical="top"/>
    </xf>
    <xf numFmtId="166" fontId="22" fillId="4" borderId="6" xfId="0" applyNumberFormat="1" applyFont="1" applyFill="1" applyBorder="1" applyAlignment="1">
      <alignment horizontal="right" vertical="top"/>
    </xf>
    <xf numFmtId="166" fontId="22" fillId="0" borderId="6" xfId="0" applyNumberFormat="1" applyFont="1" applyBorder="1" applyAlignment="1">
      <alignment horizontal="right" vertical="top"/>
    </xf>
    <xf numFmtId="0" fontId="22" fillId="0" borderId="9" xfId="0" applyFont="1" applyBorder="1" applyAlignment="1">
      <alignment horizontal="left" vertical="top"/>
    </xf>
    <xf numFmtId="166" fontId="23" fillId="0" borderId="9" xfId="0" applyNumberFormat="1" applyFont="1" applyBorder="1" applyAlignment="1">
      <alignment horizontal="right" vertical="top"/>
    </xf>
    <xf numFmtId="0" fontId="20" fillId="4" borderId="8" xfId="0" applyFont="1" applyFill="1" applyBorder="1" applyAlignment="1">
      <alignment horizontal="left" vertical="top"/>
    </xf>
    <xf numFmtId="166" fontId="19" fillId="4" borderId="8" xfId="0" applyNumberFormat="1" applyFont="1" applyFill="1" applyBorder="1" applyAlignment="1">
      <alignment horizontal="right" vertical="top"/>
    </xf>
    <xf numFmtId="166" fontId="0" fillId="0" borderId="0" xfId="0" applyNumberFormat="1"/>
    <xf numFmtId="0" fontId="24" fillId="0" borderId="6" xfId="0" applyFont="1" applyBorder="1" applyAlignment="1">
      <alignment horizontal="center" vertical="center" wrapText="1"/>
    </xf>
    <xf numFmtId="166" fontId="22" fillId="0" borderId="9" xfId="0" applyNumberFormat="1" applyFont="1" applyBorder="1" applyAlignment="1">
      <alignment horizontal="right" vertical="top"/>
    </xf>
    <xf numFmtId="166" fontId="20" fillId="4" borderId="8" xfId="0" applyNumberFormat="1" applyFont="1" applyFill="1" applyBorder="1" applyAlignment="1">
      <alignment horizontal="right" vertical="top"/>
    </xf>
    <xf numFmtId="164" fontId="7" fillId="0" borderId="1" xfId="2" applyFont="1" applyBorder="1" applyAlignment="1">
      <alignment horizontal="left"/>
    </xf>
  </cellXfs>
  <cellStyles count="6">
    <cellStyle name="Comma" xfId="1" builtinId="3"/>
    <cellStyle name="Normal" xfId="0" builtinId="0"/>
    <cellStyle name="Normal 2" xfId="5" xr:uid="{D868C81D-98DF-4942-9245-1E9350751673}"/>
    <cellStyle name="Normal 8 2" xfId="4" xr:uid="{81BF33D2-E23C-4000-B8E4-3AC16F0A20A6}"/>
    <cellStyle name="Normal_BS Reconciliaion Template (2)" xfId="2" xr:uid="{5C1C26C2-3DFE-4DD3-9BC5-D388FAD52081}"/>
    <cellStyle name="Normal_Sheet1" xfId="3" xr:uid="{462F2D5B-B5A6-4093-A955-A30D42C3B63B}"/>
  </cellStyles>
  <dxfs count="1">
    <dxf>
      <font>
        <b/>
        <i val="0"/>
        <color rgb="FFFF0000"/>
        <name val="Cambria"/>
        <scheme val="none"/>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42332</xdr:colOff>
      <xdr:row>0</xdr:row>
      <xdr:rowOff>42333</xdr:rowOff>
    </xdr:from>
    <xdr:to>
      <xdr:col>2</xdr:col>
      <xdr:colOff>888122</xdr:colOff>
      <xdr:row>2</xdr:row>
      <xdr:rowOff>296333</xdr:rowOff>
    </xdr:to>
    <xdr:pic>
      <xdr:nvPicPr>
        <xdr:cNvPr id="2" name="Image 1">
          <a:extLst>
            <a:ext uri="{FF2B5EF4-FFF2-40B4-BE49-F238E27FC236}">
              <a16:creationId xmlns:a16="http://schemas.microsoft.com/office/drawing/2014/main" id="{108CAE04-C2ED-4321-A285-DCA943387B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014" y="45508"/>
          <a:ext cx="472688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ritam.adak/Downloads/04-22%20TA%20Payable%20Reconcili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r 22"/>
      <sheetName val="Center Balance"/>
      <sheetName val="GL007-Account Balance Inquiry B"/>
      <sheetName val="2022"/>
      <sheetName val="2021"/>
      <sheetName val="2020"/>
      <sheetName val="2019"/>
      <sheetName val="FA Bal"/>
      <sheetName val="TA - Accel"/>
      <sheetName val="Partners TA List"/>
      <sheetName val="TA Disposal - Forfeit - 2018"/>
      <sheetName val="12243-Phase 2 Fire Alarm-Paid"/>
      <sheetName val="Table"/>
      <sheetName val="WF00002 from E1"/>
      <sheetName val="Lease Status"/>
      <sheetName val="Sheet1"/>
      <sheetName val="Sheet4"/>
    </sheetNames>
    <sheetDataSet>
      <sheetData sheetId="0">
        <row r="3">
          <cell r="L3"/>
        </row>
      </sheetData>
      <sheetData sheetId="1">
        <row r="48">
          <cell r="B48">
            <v>-54498290.130000003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6A8C0-68CF-4DE8-B05A-CAE7958BBB31}">
  <dimension ref="A1:O453"/>
  <sheetViews>
    <sheetView workbookViewId="0">
      <selection activeCell="D8" sqref="D8"/>
    </sheetView>
  </sheetViews>
  <sheetFormatPr defaultColWidth="8.85546875" defaultRowHeight="15"/>
  <cols>
    <col min="1" max="1" width="12.28515625" style="1" customWidth="1"/>
    <col min="2" max="2" width="9.5703125" bestFit="1" customWidth="1"/>
    <col min="3" max="3" width="26.85546875" style="2" bestFit="1" customWidth="1"/>
    <col min="4" max="4" width="11" style="3" customWidth="1"/>
    <col min="5" max="5" width="14.42578125" style="4" customWidth="1"/>
    <col min="6" max="6" width="32.5703125" bestFit="1" customWidth="1"/>
    <col min="7" max="7" width="10.85546875" style="5" customWidth="1"/>
    <col min="8" max="8" width="10.7109375" style="6" customWidth="1"/>
    <col min="9" max="10" width="12.7109375" style="7" customWidth="1"/>
    <col min="11" max="11" width="13.42578125" style="7" customWidth="1"/>
    <col min="12" max="12" width="16.5703125" style="96" bestFit="1" customWidth="1"/>
    <col min="13" max="13" width="21.42578125" style="10" customWidth="1"/>
    <col min="14" max="14" width="35.42578125" style="11" customWidth="1"/>
    <col min="15" max="15" width="11" style="1" bestFit="1" customWidth="1"/>
    <col min="16" max="16384" width="8.85546875" style="1"/>
  </cols>
  <sheetData>
    <row r="1" spans="1:15">
      <c r="A1" s="1" t="s">
        <v>0</v>
      </c>
      <c r="K1" s="8"/>
      <c r="L1" s="9"/>
    </row>
    <row r="3" spans="1:15" ht="27.75" customHeight="1">
      <c r="K3" s="12"/>
      <c r="L3" s="13"/>
      <c r="M3" s="14"/>
      <c r="N3" s="15"/>
    </row>
    <row r="4" spans="1:15" s="16" customFormat="1" ht="21" customHeight="1">
      <c r="B4" s="135" t="s">
        <v>1</v>
      </c>
      <c r="C4" s="135"/>
      <c r="D4" s="135"/>
      <c r="E4" s="17">
        <v>200330</v>
      </c>
      <c r="F4" s="18"/>
      <c r="G4" s="19"/>
      <c r="H4" s="20"/>
      <c r="I4" s="21"/>
      <c r="J4" s="21"/>
      <c r="K4" s="21"/>
      <c r="L4" s="22"/>
      <c r="M4" s="23" t="s">
        <v>2</v>
      </c>
      <c r="N4" s="24"/>
    </row>
    <row r="5" spans="1:15" s="16" customFormat="1" ht="21" customHeight="1">
      <c r="B5" s="135" t="s">
        <v>3</v>
      </c>
      <c r="C5" s="135"/>
      <c r="D5" s="135"/>
      <c r="E5" s="25" t="s">
        <v>4</v>
      </c>
      <c r="F5" s="26"/>
      <c r="G5" s="19"/>
      <c r="H5" s="20"/>
      <c r="I5" s="21"/>
      <c r="J5" s="21"/>
      <c r="K5" s="21"/>
      <c r="L5" s="22"/>
      <c r="M5" s="27"/>
      <c r="N5" s="24"/>
    </row>
    <row r="6" spans="1:15" s="16" customFormat="1" ht="21" customHeight="1">
      <c r="B6" s="135" t="s">
        <v>5</v>
      </c>
      <c r="C6" s="135"/>
      <c r="D6" s="135"/>
      <c r="E6" s="28">
        <v>44736</v>
      </c>
      <c r="F6" s="18"/>
      <c r="G6" s="19"/>
      <c r="H6" s="20"/>
      <c r="I6" s="21"/>
      <c r="J6" s="21"/>
      <c r="K6" s="21"/>
      <c r="L6" s="22"/>
      <c r="M6" s="27"/>
      <c r="N6" s="29"/>
    </row>
    <row r="7" spans="1:15" s="16" customFormat="1">
      <c r="B7" s="30"/>
      <c r="C7" s="31"/>
      <c r="D7" s="32"/>
      <c r="E7" s="33"/>
      <c r="F7" s="34"/>
      <c r="G7" s="19"/>
      <c r="H7" s="20"/>
      <c r="I7" s="21"/>
      <c r="J7" s="21"/>
      <c r="K7" s="21"/>
      <c r="L7" s="22"/>
      <c r="M7" s="27"/>
      <c r="N7" s="24"/>
    </row>
    <row r="8" spans="1:15" s="35" customFormat="1" ht="25.5">
      <c r="A8" s="35" t="s">
        <v>6</v>
      </c>
      <c r="B8" s="36" t="s">
        <v>7</v>
      </c>
      <c r="C8" s="37" t="s">
        <v>8</v>
      </c>
      <c r="D8" s="38" t="s">
        <v>9</v>
      </c>
      <c r="E8" s="39" t="s">
        <v>10</v>
      </c>
      <c r="F8" s="40" t="s">
        <v>11</v>
      </c>
      <c r="G8" s="41" t="s">
        <v>12</v>
      </c>
      <c r="H8" s="38" t="s">
        <v>13</v>
      </c>
      <c r="I8" s="42" t="s">
        <v>14</v>
      </c>
      <c r="J8" s="42" t="s">
        <v>1348</v>
      </c>
      <c r="K8" s="43" t="s">
        <v>15</v>
      </c>
      <c r="L8" s="44" t="s">
        <v>16</v>
      </c>
      <c r="M8" s="45" t="s">
        <v>17</v>
      </c>
      <c r="N8" s="46" t="s">
        <v>18</v>
      </c>
      <c r="O8" s="35" t="s">
        <v>1347</v>
      </c>
    </row>
    <row r="9" spans="1:15" customFormat="1">
      <c r="A9" t="s">
        <v>19</v>
      </c>
      <c r="B9" s="6">
        <v>12204</v>
      </c>
      <c r="C9" s="2" t="s">
        <v>20</v>
      </c>
      <c r="D9" s="6">
        <v>196870</v>
      </c>
      <c r="E9" s="47">
        <v>43461</v>
      </c>
      <c r="F9" s="1" t="s">
        <v>21</v>
      </c>
      <c r="G9" s="113">
        <v>926540</v>
      </c>
      <c r="H9" s="49">
        <v>111</v>
      </c>
      <c r="I9" s="50">
        <v>44136</v>
      </c>
      <c r="J9" s="50"/>
      <c r="K9" s="50">
        <v>44500</v>
      </c>
      <c r="L9" s="51">
        <v>50000</v>
      </c>
      <c r="M9" s="51">
        <v>-50000</v>
      </c>
      <c r="N9" s="52" t="s">
        <v>22</v>
      </c>
    </row>
    <row r="10" spans="1:15" customFormat="1" ht="26.25">
      <c r="A10" t="s">
        <v>19</v>
      </c>
      <c r="B10" s="6">
        <v>12204</v>
      </c>
      <c r="C10" s="2" t="s">
        <v>20</v>
      </c>
      <c r="D10" s="6">
        <v>211737</v>
      </c>
      <c r="E10" s="47">
        <v>43671</v>
      </c>
      <c r="F10" s="1" t="s">
        <v>23</v>
      </c>
      <c r="G10" s="113">
        <v>38748</v>
      </c>
      <c r="H10" s="49">
        <v>83</v>
      </c>
      <c r="I10" s="12">
        <v>43497</v>
      </c>
      <c r="J10" s="12"/>
      <c r="K10" s="50">
        <v>44348</v>
      </c>
      <c r="L10" s="51">
        <v>50000</v>
      </c>
      <c r="M10" s="51">
        <v>-50000</v>
      </c>
      <c r="N10" s="52" t="s">
        <v>24</v>
      </c>
    </row>
    <row r="11" spans="1:15" customFormat="1">
      <c r="A11" t="s">
        <v>19</v>
      </c>
      <c r="B11" s="6">
        <v>12204</v>
      </c>
      <c r="C11" s="2" t="s">
        <v>20</v>
      </c>
      <c r="D11" s="6">
        <v>212492</v>
      </c>
      <c r="E11" s="47">
        <v>43709</v>
      </c>
      <c r="F11" s="1" t="s">
        <v>25</v>
      </c>
      <c r="G11" s="113">
        <v>928876</v>
      </c>
      <c r="H11" s="49">
        <v>204</v>
      </c>
      <c r="I11" s="12">
        <v>43862</v>
      </c>
      <c r="J11" s="12"/>
      <c r="K11" s="50">
        <v>44228</v>
      </c>
      <c r="L11" s="51">
        <v>700000</v>
      </c>
      <c r="M11" s="51">
        <f>-700000+233333.33+233333.33+33385.18+199948.16</f>
        <v>0</v>
      </c>
      <c r="N11" s="52" t="s">
        <v>26</v>
      </c>
    </row>
    <row r="12" spans="1:15" customFormat="1">
      <c r="A12" t="s">
        <v>19</v>
      </c>
      <c r="B12" s="6">
        <v>12204</v>
      </c>
      <c r="C12" s="2" t="s">
        <v>20</v>
      </c>
      <c r="D12" s="6">
        <v>214844</v>
      </c>
      <c r="E12" s="47">
        <v>43847</v>
      </c>
      <c r="F12" s="1" t="s">
        <v>27</v>
      </c>
      <c r="G12" s="113">
        <v>927798</v>
      </c>
      <c r="H12" s="49" t="s">
        <v>28</v>
      </c>
      <c r="I12" s="12">
        <v>43676</v>
      </c>
      <c r="J12" s="12"/>
      <c r="K12" s="50">
        <v>44042</v>
      </c>
      <c r="L12" s="51">
        <v>37240</v>
      </c>
      <c r="M12" s="51">
        <v>-37240</v>
      </c>
      <c r="N12" s="52" t="s">
        <v>29</v>
      </c>
    </row>
    <row r="13" spans="1:15" customFormat="1">
      <c r="A13" t="s">
        <v>19</v>
      </c>
      <c r="B13" s="6">
        <v>12204</v>
      </c>
      <c r="C13" s="2" t="s">
        <v>20</v>
      </c>
      <c r="D13" s="6">
        <v>215430</v>
      </c>
      <c r="E13" s="47">
        <v>43873</v>
      </c>
      <c r="F13" s="1" t="s">
        <v>30</v>
      </c>
      <c r="G13" s="113">
        <v>930461</v>
      </c>
      <c r="H13" s="49">
        <v>1480</v>
      </c>
      <c r="I13" s="7">
        <v>43860</v>
      </c>
      <c r="J13" s="7"/>
      <c r="K13" s="50">
        <v>44226</v>
      </c>
      <c r="L13" s="51">
        <v>141040</v>
      </c>
      <c r="M13" s="51">
        <f>-141040+105780+35260</f>
        <v>0</v>
      </c>
      <c r="N13" s="52" t="s">
        <v>29</v>
      </c>
    </row>
    <row r="14" spans="1:15" customFormat="1" ht="14.1" customHeight="1">
      <c r="A14" t="s">
        <v>19</v>
      </c>
      <c r="B14" s="6">
        <v>12204</v>
      </c>
      <c r="C14" s="2" t="s">
        <v>20</v>
      </c>
      <c r="D14" s="6">
        <v>215431</v>
      </c>
      <c r="E14" s="47">
        <v>43873</v>
      </c>
      <c r="F14" s="1" t="s">
        <v>31</v>
      </c>
      <c r="G14" s="113">
        <v>930868</v>
      </c>
      <c r="H14" s="49">
        <v>137</v>
      </c>
      <c r="I14" s="7">
        <v>43856</v>
      </c>
      <c r="J14" s="7"/>
      <c r="K14" s="50">
        <v>45716</v>
      </c>
      <c r="L14" s="51">
        <v>109750</v>
      </c>
      <c r="M14" s="51">
        <f>-109750+109750</f>
        <v>0</v>
      </c>
      <c r="N14" s="52" t="s">
        <v>29</v>
      </c>
    </row>
    <row r="15" spans="1:15" customFormat="1">
      <c r="A15" t="s">
        <v>19</v>
      </c>
      <c r="B15" s="6">
        <v>12204</v>
      </c>
      <c r="C15" s="2" t="s">
        <v>20</v>
      </c>
      <c r="D15" s="6">
        <v>214849</v>
      </c>
      <c r="E15" s="47">
        <v>43851</v>
      </c>
      <c r="F15" s="1" t="s">
        <v>32</v>
      </c>
      <c r="G15" s="113">
        <v>929104</v>
      </c>
      <c r="H15" s="49">
        <v>1330</v>
      </c>
      <c r="I15" s="7">
        <v>43877</v>
      </c>
      <c r="J15" s="7"/>
      <c r="K15" s="50">
        <v>1</v>
      </c>
      <c r="L15" s="51">
        <v>1462500</v>
      </c>
      <c r="M15" s="51">
        <f>-1462500+731250+365625+365625+243683.33-1462500</f>
        <v>-1218816.67</v>
      </c>
      <c r="N15" s="52" t="s">
        <v>33</v>
      </c>
    </row>
    <row r="16" spans="1:15" customFormat="1">
      <c r="A16" t="s">
        <v>19</v>
      </c>
      <c r="B16" s="6">
        <v>12204</v>
      </c>
      <c r="C16" s="2" t="s">
        <v>20</v>
      </c>
      <c r="D16" s="6">
        <v>216411</v>
      </c>
      <c r="E16" s="47">
        <v>43949</v>
      </c>
      <c r="F16" s="1" t="s">
        <v>34</v>
      </c>
      <c r="G16" s="113">
        <v>35919</v>
      </c>
      <c r="H16" s="49">
        <v>1901</v>
      </c>
      <c r="I16" s="7">
        <v>43851</v>
      </c>
      <c r="J16" s="7"/>
      <c r="K16" s="7">
        <v>45688</v>
      </c>
      <c r="L16" s="51">
        <v>835446</v>
      </c>
      <c r="M16" s="51">
        <f>-835446-1978.68+527394+1978.68</f>
        <v>-308052.00000000006</v>
      </c>
      <c r="N16" s="52" t="s">
        <v>35</v>
      </c>
    </row>
    <row r="17" spans="1:14" customFormat="1">
      <c r="A17" t="s">
        <v>19</v>
      </c>
      <c r="B17" s="6">
        <v>12204</v>
      </c>
      <c r="C17" s="2" t="s">
        <v>20</v>
      </c>
      <c r="D17" s="6">
        <v>216785</v>
      </c>
      <c r="E17" s="47">
        <v>43958</v>
      </c>
      <c r="F17" s="1" t="s">
        <v>36</v>
      </c>
      <c r="G17" s="113">
        <v>931486</v>
      </c>
      <c r="H17" s="49">
        <v>112</v>
      </c>
      <c r="I17" s="7">
        <v>43952</v>
      </c>
      <c r="J17" s="7"/>
      <c r="K17" s="7">
        <v>1</v>
      </c>
      <c r="L17" s="51">
        <v>313318</v>
      </c>
      <c r="M17" s="51">
        <f>-313318+104439.33-579.99+579.99+104439.33+104439.34</f>
        <v>0</v>
      </c>
      <c r="N17" s="52" t="s">
        <v>37</v>
      </c>
    </row>
    <row r="18" spans="1:14" customFormat="1" ht="14.1" customHeight="1">
      <c r="A18" t="s">
        <v>19</v>
      </c>
      <c r="B18" s="6">
        <v>12204</v>
      </c>
      <c r="C18" s="2" t="s">
        <v>20</v>
      </c>
      <c r="D18" s="6">
        <v>219130</v>
      </c>
      <c r="E18" s="47">
        <v>44032</v>
      </c>
      <c r="F18" s="1" t="s">
        <v>38</v>
      </c>
      <c r="G18" s="113">
        <v>931170</v>
      </c>
      <c r="H18" s="49">
        <v>1270</v>
      </c>
      <c r="I18" s="7">
        <v>44531</v>
      </c>
      <c r="J18" s="7"/>
      <c r="K18" s="7">
        <v>44895</v>
      </c>
      <c r="L18" s="51">
        <v>486266.68</v>
      </c>
      <c r="M18" s="51">
        <f>162088.9-486266.68</f>
        <v>-324177.78000000003</v>
      </c>
      <c r="N18" s="52" t="s">
        <v>29</v>
      </c>
    </row>
    <row r="19" spans="1:14" customFormat="1">
      <c r="A19" t="s">
        <v>19</v>
      </c>
      <c r="B19" s="6">
        <v>12204</v>
      </c>
      <c r="C19" s="2" t="s">
        <v>20</v>
      </c>
      <c r="D19" s="6">
        <v>220422</v>
      </c>
      <c r="E19" s="47">
        <v>44154</v>
      </c>
      <c r="F19" s="1" t="s">
        <v>39</v>
      </c>
      <c r="G19" s="113">
        <v>931133</v>
      </c>
      <c r="H19" s="49">
        <v>134</v>
      </c>
      <c r="I19" s="7">
        <v>44002</v>
      </c>
      <c r="J19" s="7"/>
      <c r="K19" s="7">
        <v>44367</v>
      </c>
      <c r="L19" s="51">
        <v>5000</v>
      </c>
      <c r="M19" s="51">
        <v>-5000</v>
      </c>
      <c r="N19" s="52" t="s">
        <v>29</v>
      </c>
    </row>
    <row r="20" spans="1:14" customFormat="1" ht="26.25">
      <c r="A20" t="s">
        <v>19</v>
      </c>
      <c r="B20" s="6">
        <v>12204</v>
      </c>
      <c r="C20" s="2" t="s">
        <v>20</v>
      </c>
      <c r="D20" s="6">
        <v>220423</v>
      </c>
      <c r="E20" s="47">
        <v>44166</v>
      </c>
      <c r="F20" s="1" t="s">
        <v>40</v>
      </c>
      <c r="G20" s="113">
        <v>35062</v>
      </c>
      <c r="H20" s="49">
        <v>146</v>
      </c>
      <c r="I20" s="7">
        <v>44082</v>
      </c>
      <c r="J20" s="7"/>
      <c r="K20" s="7">
        <v>1</v>
      </c>
      <c r="L20" s="51">
        <v>370000</v>
      </c>
      <c r="M20" s="51">
        <v>-370000</v>
      </c>
      <c r="N20" s="52" t="s">
        <v>41</v>
      </c>
    </row>
    <row r="21" spans="1:14" customFormat="1">
      <c r="A21" t="s">
        <v>19</v>
      </c>
      <c r="B21" s="6">
        <v>12204</v>
      </c>
      <c r="C21" s="2" t="s">
        <v>20</v>
      </c>
      <c r="D21" s="6">
        <v>220749</v>
      </c>
      <c r="E21" s="47">
        <v>44239</v>
      </c>
      <c r="F21" s="1" t="s">
        <v>42</v>
      </c>
      <c r="G21" s="113">
        <v>931026</v>
      </c>
      <c r="H21" s="49" t="s">
        <v>43</v>
      </c>
      <c r="I21" s="7"/>
      <c r="J21" s="7"/>
      <c r="K21" s="7">
        <v>2</v>
      </c>
      <c r="L21" s="51">
        <v>75000</v>
      </c>
      <c r="M21" s="51">
        <f>-75000+75000</f>
        <v>0</v>
      </c>
      <c r="N21" s="52"/>
    </row>
    <row r="22" spans="1:14">
      <c r="A22" t="s">
        <v>19</v>
      </c>
      <c r="B22" s="6">
        <v>12204</v>
      </c>
      <c r="C22" s="2" t="s">
        <v>20</v>
      </c>
      <c r="D22" s="6">
        <v>223550</v>
      </c>
      <c r="E22" s="53">
        <v>44575</v>
      </c>
      <c r="F22" t="s">
        <v>44</v>
      </c>
      <c r="G22" s="113">
        <v>933709</v>
      </c>
      <c r="H22" s="54">
        <v>1810</v>
      </c>
      <c r="I22" s="12"/>
      <c r="J22" s="12"/>
      <c r="K22" s="7">
        <v>3</v>
      </c>
      <c r="L22" s="51">
        <v>20000</v>
      </c>
      <c r="M22" s="51">
        <f>-20000+15000</f>
        <v>-5000</v>
      </c>
      <c r="N22" s="52"/>
    </row>
    <row r="23" spans="1:14">
      <c r="A23" t="s">
        <v>19</v>
      </c>
      <c r="B23" s="6">
        <v>12206</v>
      </c>
      <c r="C23" s="2" t="s">
        <v>45</v>
      </c>
      <c r="D23" s="6">
        <v>190953</v>
      </c>
      <c r="E23" s="53">
        <v>43190</v>
      </c>
      <c r="F23" t="s">
        <v>46</v>
      </c>
      <c r="G23" s="113">
        <v>922974</v>
      </c>
      <c r="H23" s="54">
        <v>940</v>
      </c>
      <c r="I23" s="12">
        <v>43227</v>
      </c>
      <c r="J23" s="12"/>
      <c r="K23" s="12">
        <v>43591</v>
      </c>
      <c r="L23" s="51">
        <v>6300</v>
      </c>
      <c r="M23" s="51">
        <f>-6300+6300</f>
        <v>0</v>
      </c>
      <c r="N23" s="52" t="s">
        <v>47</v>
      </c>
    </row>
    <row r="24" spans="1:14">
      <c r="A24" t="s">
        <v>19</v>
      </c>
      <c r="B24" s="6">
        <v>12206</v>
      </c>
      <c r="C24" s="2" t="s">
        <v>45</v>
      </c>
      <c r="D24" s="6">
        <v>192553</v>
      </c>
      <c r="E24" s="53">
        <v>43235</v>
      </c>
      <c r="F24" t="s">
        <v>48</v>
      </c>
      <c r="G24" s="113">
        <v>71785</v>
      </c>
      <c r="H24" s="54">
        <v>413</v>
      </c>
      <c r="I24" s="12">
        <v>43216</v>
      </c>
      <c r="J24" s="12"/>
      <c r="K24" s="12">
        <v>44316</v>
      </c>
      <c r="L24" s="51">
        <v>90000</v>
      </c>
      <c r="M24" s="51">
        <f>-90000+77507.28</f>
        <v>-12492.720000000001</v>
      </c>
      <c r="N24" s="52" t="s">
        <v>35</v>
      </c>
    </row>
    <row r="25" spans="1:14">
      <c r="A25" t="s">
        <v>19</v>
      </c>
      <c r="B25" s="6">
        <v>12206</v>
      </c>
      <c r="C25" s="2" t="s">
        <v>45</v>
      </c>
      <c r="D25" s="6">
        <v>193236</v>
      </c>
      <c r="E25" s="53">
        <v>43281</v>
      </c>
      <c r="F25" t="s">
        <v>49</v>
      </c>
      <c r="G25" s="113">
        <v>922123</v>
      </c>
      <c r="H25" s="54">
        <v>545</v>
      </c>
      <c r="I25" s="12">
        <v>43192</v>
      </c>
      <c r="J25" s="12"/>
      <c r="K25" s="12">
        <v>43556</v>
      </c>
      <c r="L25" s="51">
        <v>10000</v>
      </c>
      <c r="M25" s="51">
        <v>-10000</v>
      </c>
      <c r="N25" s="52" t="s">
        <v>29</v>
      </c>
    </row>
    <row r="26" spans="1:14">
      <c r="A26" t="s">
        <v>19</v>
      </c>
      <c r="B26" s="6">
        <v>12206</v>
      </c>
      <c r="C26" s="2" t="s">
        <v>45</v>
      </c>
      <c r="D26" s="6">
        <v>194745</v>
      </c>
      <c r="E26" s="53">
        <v>43327</v>
      </c>
      <c r="F26" t="s">
        <v>50</v>
      </c>
      <c r="G26" s="113">
        <v>924953</v>
      </c>
      <c r="H26" s="54">
        <v>673</v>
      </c>
      <c r="I26" s="12">
        <v>43221</v>
      </c>
      <c r="J26" s="12"/>
      <c r="K26" s="12">
        <v>43586</v>
      </c>
      <c r="L26" s="51">
        <v>10000</v>
      </c>
      <c r="M26" s="51">
        <f>-10000+10000</f>
        <v>0</v>
      </c>
      <c r="N26" s="52" t="s">
        <v>47</v>
      </c>
    </row>
    <row r="27" spans="1:14">
      <c r="A27" t="s">
        <v>19</v>
      </c>
      <c r="B27" s="6">
        <v>12206</v>
      </c>
      <c r="C27" s="2" t="s">
        <v>45</v>
      </c>
      <c r="D27" s="6">
        <v>196873</v>
      </c>
      <c r="E27" s="53">
        <v>43462</v>
      </c>
      <c r="F27" t="s">
        <v>21</v>
      </c>
      <c r="G27" s="113">
        <v>926542</v>
      </c>
      <c r="H27" s="54">
        <v>925</v>
      </c>
      <c r="I27" s="12">
        <v>44136</v>
      </c>
      <c r="J27" s="12"/>
      <c r="K27" s="12">
        <v>44500</v>
      </c>
      <c r="L27" s="51">
        <v>50000</v>
      </c>
      <c r="M27" s="51">
        <v>-50000</v>
      </c>
      <c r="N27" s="52" t="s">
        <v>51</v>
      </c>
    </row>
    <row r="28" spans="1:14">
      <c r="A28" t="s">
        <v>19</v>
      </c>
      <c r="B28" s="6">
        <v>12206</v>
      </c>
      <c r="C28" s="2" t="s">
        <v>45</v>
      </c>
      <c r="D28" s="6">
        <v>197706</v>
      </c>
      <c r="E28" s="53">
        <v>43551</v>
      </c>
      <c r="F28" t="s">
        <v>52</v>
      </c>
      <c r="G28" s="113">
        <v>926577</v>
      </c>
      <c r="H28" s="54">
        <v>9050</v>
      </c>
      <c r="I28" s="12">
        <v>43497</v>
      </c>
      <c r="J28" s="12"/>
      <c r="K28" s="12">
        <v>1</v>
      </c>
      <c r="L28" s="51">
        <v>35000</v>
      </c>
      <c r="M28" s="51">
        <f>-35000+35000</f>
        <v>0</v>
      </c>
      <c r="N28" s="52" t="s">
        <v>47</v>
      </c>
    </row>
    <row r="29" spans="1:14">
      <c r="A29" t="s">
        <v>19</v>
      </c>
      <c r="B29" s="6">
        <v>12206</v>
      </c>
      <c r="C29" s="2" t="s">
        <v>45</v>
      </c>
      <c r="D29" s="6">
        <v>211701</v>
      </c>
      <c r="E29" s="53">
        <v>43657</v>
      </c>
      <c r="F29" t="s">
        <v>53</v>
      </c>
      <c r="G29" s="113">
        <v>927768</v>
      </c>
      <c r="H29" s="54">
        <v>424</v>
      </c>
      <c r="I29" s="12">
        <v>43647</v>
      </c>
      <c r="J29" s="12"/>
      <c r="K29" s="12">
        <v>44014</v>
      </c>
      <c r="L29" s="51">
        <v>25000</v>
      </c>
      <c r="M29" s="51">
        <f>-25000+24671.25+328.75</f>
        <v>0</v>
      </c>
      <c r="N29" s="52" t="s">
        <v>29</v>
      </c>
    </row>
    <row r="30" spans="1:14">
      <c r="A30" t="s">
        <v>19</v>
      </c>
      <c r="B30" s="6">
        <v>12206</v>
      </c>
      <c r="C30" s="2" t="s">
        <v>45</v>
      </c>
      <c r="D30" s="6">
        <v>214679</v>
      </c>
      <c r="E30" s="53">
        <v>43801</v>
      </c>
      <c r="F30" t="s">
        <v>54</v>
      </c>
      <c r="G30" s="113">
        <v>928635</v>
      </c>
      <c r="H30" s="54">
        <v>964</v>
      </c>
      <c r="I30" s="12">
        <v>43678</v>
      </c>
      <c r="J30" s="12"/>
      <c r="K30" s="12">
        <v>44044</v>
      </c>
      <c r="L30" s="51">
        <v>75000</v>
      </c>
      <c r="M30" s="51">
        <f>-75000+75000</f>
        <v>0</v>
      </c>
      <c r="N30" s="52" t="s">
        <v>29</v>
      </c>
    </row>
    <row r="31" spans="1:14">
      <c r="A31" t="s">
        <v>19</v>
      </c>
      <c r="B31" s="6">
        <v>12206</v>
      </c>
      <c r="C31" s="2" t="s">
        <v>45</v>
      </c>
      <c r="D31" s="6">
        <v>215381</v>
      </c>
      <c r="E31" s="53">
        <v>43868</v>
      </c>
      <c r="F31" t="s">
        <v>55</v>
      </c>
      <c r="G31" s="113">
        <v>929545</v>
      </c>
      <c r="H31" s="54" t="s">
        <v>56</v>
      </c>
      <c r="I31" s="12">
        <v>43836</v>
      </c>
      <c r="J31" s="12"/>
      <c r="K31" s="12">
        <v>44202</v>
      </c>
      <c r="L31" s="51">
        <v>7873.2</v>
      </c>
      <c r="M31" s="51">
        <v>-7873.2</v>
      </c>
      <c r="N31" s="52" t="s">
        <v>29</v>
      </c>
    </row>
    <row r="32" spans="1:14">
      <c r="A32" t="s">
        <v>19</v>
      </c>
      <c r="B32" s="6">
        <v>12206</v>
      </c>
      <c r="C32" s="2" t="s">
        <v>45</v>
      </c>
      <c r="D32" s="6">
        <v>215087</v>
      </c>
      <c r="E32" s="53">
        <v>43871</v>
      </c>
      <c r="F32" t="s">
        <v>57</v>
      </c>
      <c r="G32" s="113">
        <v>929035</v>
      </c>
      <c r="H32" s="54">
        <v>581</v>
      </c>
      <c r="I32" s="12">
        <v>43739</v>
      </c>
      <c r="J32" s="12"/>
      <c r="K32" s="12">
        <v>44105</v>
      </c>
      <c r="L32" s="51">
        <v>28800</v>
      </c>
      <c r="M32" s="51">
        <f>-28800+10155.57+11307.43</f>
        <v>-7337</v>
      </c>
      <c r="N32" s="52" t="s">
        <v>29</v>
      </c>
    </row>
    <row r="33" spans="1:14">
      <c r="A33" t="s">
        <v>19</v>
      </c>
      <c r="B33" s="6">
        <v>12206</v>
      </c>
      <c r="C33" s="2" t="s">
        <v>45</v>
      </c>
      <c r="D33" s="6">
        <v>216238</v>
      </c>
      <c r="E33" s="53">
        <v>43923</v>
      </c>
      <c r="F33" t="s">
        <v>58</v>
      </c>
      <c r="G33" s="113">
        <v>930370</v>
      </c>
      <c r="H33" s="54" t="s">
        <v>59</v>
      </c>
      <c r="I33" s="12"/>
      <c r="J33" s="12"/>
      <c r="K33" s="12">
        <v>1</v>
      </c>
      <c r="L33" s="51">
        <v>31050</v>
      </c>
      <c r="M33" s="51">
        <f>-31050+31050</f>
        <v>0</v>
      </c>
      <c r="N33" s="52" t="s">
        <v>29</v>
      </c>
    </row>
    <row r="34" spans="1:14">
      <c r="A34" t="s">
        <v>19</v>
      </c>
      <c r="B34" s="6">
        <v>12206</v>
      </c>
      <c r="C34" s="2" t="s">
        <v>45</v>
      </c>
      <c r="D34" s="6">
        <v>220329</v>
      </c>
      <c r="E34" s="53">
        <v>44196</v>
      </c>
      <c r="F34" t="s">
        <v>60</v>
      </c>
      <c r="G34" s="113">
        <v>932053</v>
      </c>
      <c r="H34" s="54">
        <v>628</v>
      </c>
      <c r="I34" s="12">
        <v>44071</v>
      </c>
      <c r="J34" s="12"/>
      <c r="K34" s="12">
        <v>44435</v>
      </c>
      <c r="L34" s="51">
        <v>5000</v>
      </c>
      <c r="M34" s="51">
        <v>-5000</v>
      </c>
      <c r="N34" s="52" t="s">
        <v>29</v>
      </c>
    </row>
    <row r="35" spans="1:14">
      <c r="A35" t="s">
        <v>19</v>
      </c>
      <c r="B35" s="6">
        <v>12206</v>
      </c>
      <c r="C35" s="2" t="s">
        <v>45</v>
      </c>
      <c r="D35" s="6">
        <v>220331</v>
      </c>
      <c r="E35" s="53">
        <v>44196</v>
      </c>
      <c r="F35" t="s">
        <v>61</v>
      </c>
      <c r="G35" s="113">
        <v>931473</v>
      </c>
      <c r="H35" s="54"/>
      <c r="I35" s="12"/>
      <c r="J35" s="12"/>
      <c r="K35" s="12" t="s">
        <v>129</v>
      </c>
      <c r="L35" s="51">
        <v>15000</v>
      </c>
      <c r="M35" s="51">
        <f>-15000+15000</f>
        <v>0</v>
      </c>
      <c r="N35" s="52"/>
    </row>
    <row r="36" spans="1:14">
      <c r="A36" t="s">
        <v>19</v>
      </c>
      <c r="B36" s="6">
        <v>12206</v>
      </c>
      <c r="C36" s="2" t="s">
        <v>45</v>
      </c>
      <c r="D36" s="6">
        <v>221639</v>
      </c>
      <c r="E36" s="53"/>
      <c r="F36" t="s">
        <v>62</v>
      </c>
      <c r="G36" s="113">
        <v>932341</v>
      </c>
      <c r="H36" s="54"/>
      <c r="I36" s="12"/>
      <c r="J36" s="12"/>
      <c r="K36" s="12" t="s">
        <v>129</v>
      </c>
      <c r="L36" s="51">
        <v>20000</v>
      </c>
      <c r="M36" s="51">
        <f>-20000+15473.91+4526.09</f>
        <v>0</v>
      </c>
      <c r="N36" s="52"/>
    </row>
    <row r="37" spans="1:14">
      <c r="A37" t="s">
        <v>19</v>
      </c>
      <c r="B37" s="6">
        <v>12206</v>
      </c>
      <c r="C37" s="2" t="s">
        <v>45</v>
      </c>
      <c r="D37" s="6">
        <v>220752</v>
      </c>
      <c r="E37" s="53"/>
      <c r="F37" t="s">
        <v>63</v>
      </c>
      <c r="G37" s="113">
        <v>931535</v>
      </c>
      <c r="H37" s="54"/>
      <c r="I37" s="12"/>
      <c r="J37" s="12"/>
      <c r="K37" s="12" t="s">
        <v>129</v>
      </c>
      <c r="L37" s="51">
        <v>55000</v>
      </c>
      <c r="M37" s="51">
        <f>-55000+55000</f>
        <v>0</v>
      </c>
      <c r="N37" s="52"/>
    </row>
    <row r="38" spans="1:14">
      <c r="A38" t="s">
        <v>19</v>
      </c>
      <c r="B38" s="6">
        <v>12206</v>
      </c>
      <c r="C38" s="2" t="s">
        <v>45</v>
      </c>
      <c r="D38" s="6">
        <v>221929</v>
      </c>
      <c r="E38" s="53">
        <v>44378</v>
      </c>
      <c r="F38" t="s">
        <v>64</v>
      </c>
      <c r="G38" s="113">
        <v>931603</v>
      </c>
      <c r="H38" s="54">
        <v>775</v>
      </c>
      <c r="I38" s="12">
        <v>44501</v>
      </c>
      <c r="J38" s="12"/>
      <c r="K38" s="12">
        <v>44865</v>
      </c>
      <c r="L38" s="51">
        <v>1200000</v>
      </c>
      <c r="M38" s="51">
        <f>-1200000</f>
        <v>-1200000</v>
      </c>
      <c r="N38" s="52" t="s">
        <v>29</v>
      </c>
    </row>
    <row r="39" spans="1:14" ht="13.5" customHeight="1">
      <c r="A39" t="s">
        <v>19</v>
      </c>
      <c r="B39" s="55">
        <v>12206</v>
      </c>
      <c r="C39" s="56" t="s">
        <v>45</v>
      </c>
      <c r="D39" s="6">
        <v>221181</v>
      </c>
      <c r="E39" s="53">
        <v>44287</v>
      </c>
      <c r="F39" t="s">
        <v>65</v>
      </c>
      <c r="G39" s="113">
        <v>931839</v>
      </c>
      <c r="H39" s="55"/>
      <c r="I39" s="57"/>
      <c r="J39" s="57"/>
      <c r="K39" s="12">
        <v>1</v>
      </c>
      <c r="L39" s="51">
        <v>35000</v>
      </c>
      <c r="M39" s="51">
        <f>-35000+34345.88+654.12</f>
        <v>-2.6147972675971687E-12</v>
      </c>
      <c r="N39" s="52"/>
    </row>
    <row r="40" spans="1:14" ht="26.25">
      <c r="A40" t="s">
        <v>19</v>
      </c>
      <c r="B40" s="55">
        <v>12211</v>
      </c>
      <c r="C40" s="56" t="s">
        <v>66</v>
      </c>
      <c r="D40" s="6">
        <v>184572</v>
      </c>
      <c r="E40" s="53">
        <v>42863</v>
      </c>
      <c r="F40" t="s">
        <v>67</v>
      </c>
      <c r="G40" s="113" t="s">
        <v>68</v>
      </c>
      <c r="H40" s="55" t="s">
        <v>43</v>
      </c>
      <c r="I40" s="58">
        <v>42997</v>
      </c>
      <c r="J40" s="58"/>
      <c r="K40" s="12">
        <v>43361</v>
      </c>
      <c r="L40" s="51">
        <v>60000</v>
      </c>
      <c r="M40" s="51">
        <f>-60000+60000</f>
        <v>0</v>
      </c>
      <c r="N40" s="59" t="s">
        <v>69</v>
      </c>
    </row>
    <row r="41" spans="1:14">
      <c r="A41" t="s">
        <v>19</v>
      </c>
      <c r="B41" s="55">
        <v>12211</v>
      </c>
      <c r="C41" s="56" t="s">
        <v>66</v>
      </c>
      <c r="D41" s="6">
        <v>214672</v>
      </c>
      <c r="E41" s="53">
        <v>43801</v>
      </c>
      <c r="F41" t="s">
        <v>70</v>
      </c>
      <c r="G41" s="113">
        <v>929105</v>
      </c>
      <c r="H41" s="55">
        <v>2900</v>
      </c>
      <c r="I41" s="58">
        <v>43742</v>
      </c>
      <c r="J41" s="58"/>
      <c r="K41" s="12">
        <v>44838</v>
      </c>
      <c r="L41" s="51">
        <v>93555</v>
      </c>
      <c r="M41" s="51">
        <v>-93555</v>
      </c>
      <c r="N41" s="60" t="s">
        <v>71</v>
      </c>
    </row>
    <row r="42" spans="1:14">
      <c r="A42" t="s">
        <v>19</v>
      </c>
      <c r="B42" s="55">
        <v>12211</v>
      </c>
      <c r="C42" s="56" t="s">
        <v>66</v>
      </c>
      <c r="D42" s="6">
        <v>214683</v>
      </c>
      <c r="E42" s="53">
        <v>43802</v>
      </c>
      <c r="F42" t="s">
        <v>72</v>
      </c>
      <c r="G42" s="113">
        <v>929036</v>
      </c>
      <c r="H42" s="55">
        <v>1370</v>
      </c>
      <c r="I42" s="58">
        <v>43709</v>
      </c>
      <c r="J42" s="58"/>
      <c r="K42" s="12">
        <v>44075</v>
      </c>
      <c r="L42" s="51">
        <v>559000</v>
      </c>
      <c r="M42" s="51">
        <f>-559000+559000</f>
        <v>0</v>
      </c>
      <c r="N42" s="60" t="s">
        <v>29</v>
      </c>
    </row>
    <row r="43" spans="1:14">
      <c r="A43" t="s">
        <v>19</v>
      </c>
      <c r="B43" s="55">
        <v>12211</v>
      </c>
      <c r="C43" s="56" t="s">
        <v>66</v>
      </c>
      <c r="D43" s="6">
        <v>214684</v>
      </c>
      <c r="E43" s="53">
        <v>43802</v>
      </c>
      <c r="F43" t="s">
        <v>73</v>
      </c>
      <c r="G43" s="113">
        <v>925993</v>
      </c>
      <c r="H43" s="55">
        <v>1610</v>
      </c>
      <c r="I43" s="58">
        <v>43556</v>
      </c>
      <c r="J43" s="58"/>
      <c r="K43" s="12">
        <v>43922</v>
      </c>
      <c r="L43" s="51">
        <v>55000</v>
      </c>
      <c r="M43" s="51">
        <f>-55000+55000</f>
        <v>0</v>
      </c>
      <c r="N43" s="60" t="s">
        <v>29</v>
      </c>
    </row>
    <row r="44" spans="1:14">
      <c r="A44" t="s">
        <v>19</v>
      </c>
      <c r="B44" s="55">
        <v>12211</v>
      </c>
      <c r="C44" s="56" t="s">
        <v>66</v>
      </c>
      <c r="D44" s="6">
        <v>214739</v>
      </c>
      <c r="E44" s="53">
        <v>43832</v>
      </c>
      <c r="F44" t="s">
        <v>74</v>
      </c>
      <c r="G44" s="113">
        <v>928939</v>
      </c>
      <c r="H44" s="55">
        <v>1790</v>
      </c>
      <c r="I44" s="58">
        <v>43678</v>
      </c>
      <c r="J44" s="58"/>
      <c r="K44" s="12">
        <v>44044</v>
      </c>
      <c r="L44" s="51">
        <v>2500</v>
      </c>
      <c r="M44" s="51">
        <f>-2500+2500</f>
        <v>0</v>
      </c>
      <c r="N44" s="60" t="s">
        <v>29</v>
      </c>
    </row>
    <row r="45" spans="1:14">
      <c r="A45" t="s">
        <v>19</v>
      </c>
      <c r="B45" s="55">
        <v>12211</v>
      </c>
      <c r="C45" s="56" t="s">
        <v>66</v>
      </c>
      <c r="D45" s="6">
        <v>214850</v>
      </c>
      <c r="E45" s="53">
        <v>43851</v>
      </c>
      <c r="F45" t="s">
        <v>75</v>
      </c>
      <c r="G45" s="113">
        <v>929351</v>
      </c>
      <c r="H45" s="55">
        <v>1280</v>
      </c>
      <c r="I45" s="58">
        <v>43829</v>
      </c>
      <c r="J45" s="58"/>
      <c r="K45" s="12">
        <v>44195</v>
      </c>
      <c r="L45" s="51">
        <v>198960</v>
      </c>
      <c r="M45" s="51">
        <f>-198960+198960</f>
        <v>0</v>
      </c>
      <c r="N45" s="60" t="s">
        <v>29</v>
      </c>
    </row>
    <row r="46" spans="1:14">
      <c r="A46" t="s">
        <v>19</v>
      </c>
      <c r="B46" s="55">
        <v>12211</v>
      </c>
      <c r="C46" s="56" t="s">
        <v>66</v>
      </c>
      <c r="D46" s="6">
        <v>214851</v>
      </c>
      <c r="E46" s="53">
        <v>43851</v>
      </c>
      <c r="F46" s="1" t="s">
        <v>76</v>
      </c>
      <c r="G46" s="113">
        <v>928747</v>
      </c>
      <c r="H46" s="55">
        <v>9210</v>
      </c>
      <c r="I46" s="58">
        <v>43800</v>
      </c>
      <c r="J46" s="58"/>
      <c r="K46" s="12">
        <v>44166</v>
      </c>
      <c r="L46" s="51">
        <v>45000</v>
      </c>
      <c r="M46" s="51">
        <v>-45000</v>
      </c>
      <c r="N46" s="60" t="s">
        <v>29</v>
      </c>
    </row>
    <row r="47" spans="1:14">
      <c r="A47" t="s">
        <v>19</v>
      </c>
      <c r="B47" s="55">
        <v>12211</v>
      </c>
      <c r="C47" s="56" t="s">
        <v>66</v>
      </c>
      <c r="D47" s="6">
        <v>215399</v>
      </c>
      <c r="E47" s="53">
        <v>44410</v>
      </c>
      <c r="F47" t="s">
        <v>77</v>
      </c>
      <c r="G47" s="113">
        <v>931015</v>
      </c>
      <c r="H47" s="55"/>
      <c r="I47" s="58"/>
      <c r="J47" s="58"/>
      <c r="K47" s="12">
        <v>1</v>
      </c>
      <c r="L47" s="51"/>
      <c r="M47" s="51">
        <f>538800-538800</f>
        <v>0</v>
      </c>
      <c r="N47" s="60" t="s">
        <v>78</v>
      </c>
    </row>
    <row r="48" spans="1:14" ht="26.25">
      <c r="A48" t="s">
        <v>19</v>
      </c>
      <c r="B48" s="55">
        <v>12211</v>
      </c>
      <c r="C48" s="56" t="s">
        <v>66</v>
      </c>
      <c r="D48" s="6">
        <v>216258</v>
      </c>
      <c r="E48" s="53">
        <v>43922</v>
      </c>
      <c r="F48" s="1" t="s">
        <v>79</v>
      </c>
      <c r="G48" s="113">
        <v>928572</v>
      </c>
      <c r="H48" s="55">
        <v>1760</v>
      </c>
      <c r="I48" s="58">
        <v>44136</v>
      </c>
      <c r="J48" s="58"/>
      <c r="K48" s="12">
        <v>44501</v>
      </c>
      <c r="L48" s="51">
        <v>22000</v>
      </c>
      <c r="M48" s="51">
        <f>-22000+22000-6173.52</f>
        <v>-6173.52</v>
      </c>
      <c r="N48" s="60" t="s">
        <v>80</v>
      </c>
    </row>
    <row r="49" spans="1:14">
      <c r="A49" t="s">
        <v>19</v>
      </c>
      <c r="B49" s="55">
        <v>12211</v>
      </c>
      <c r="C49" s="56" t="s">
        <v>66</v>
      </c>
      <c r="D49" s="6">
        <v>219747</v>
      </c>
      <c r="E49" s="53">
        <v>44075</v>
      </c>
      <c r="F49" t="s">
        <v>81</v>
      </c>
      <c r="G49" s="113">
        <v>931381</v>
      </c>
      <c r="H49" s="55">
        <v>2350</v>
      </c>
      <c r="I49" s="58">
        <v>44012</v>
      </c>
      <c r="J49" s="58"/>
      <c r="K49" s="12">
        <v>44530</v>
      </c>
      <c r="L49" s="51">
        <v>253700</v>
      </c>
      <c r="M49" s="51">
        <v>-253700</v>
      </c>
      <c r="N49" s="60" t="s">
        <v>82</v>
      </c>
    </row>
    <row r="50" spans="1:14" ht="51.75">
      <c r="A50" t="s">
        <v>19</v>
      </c>
      <c r="B50" s="55">
        <v>12211</v>
      </c>
      <c r="C50" s="56" t="s">
        <v>66</v>
      </c>
      <c r="D50" s="6">
        <v>220705</v>
      </c>
      <c r="E50" s="53">
        <v>44229</v>
      </c>
      <c r="F50" s="1" t="s">
        <v>83</v>
      </c>
      <c r="G50" s="113">
        <v>931487</v>
      </c>
      <c r="H50" s="55">
        <v>2970</v>
      </c>
      <c r="I50" s="58">
        <v>44190</v>
      </c>
      <c r="J50" s="58"/>
      <c r="K50" s="12">
        <v>44555</v>
      </c>
      <c r="L50" s="51">
        <v>545290.15</v>
      </c>
      <c r="M50" s="51">
        <f>464771.25-545290.15+80518.9</f>
        <v>0</v>
      </c>
      <c r="N50" s="60" t="s">
        <v>84</v>
      </c>
    </row>
    <row r="51" spans="1:14" ht="26.25">
      <c r="A51" t="s">
        <v>19</v>
      </c>
      <c r="B51" s="55">
        <v>12211</v>
      </c>
      <c r="C51" s="56" t="s">
        <v>66</v>
      </c>
      <c r="D51" s="6">
        <v>220748</v>
      </c>
      <c r="E51" s="53">
        <v>44265</v>
      </c>
      <c r="F51" s="1" t="s">
        <v>85</v>
      </c>
      <c r="G51" s="113">
        <v>932594</v>
      </c>
      <c r="H51" s="55">
        <v>1900</v>
      </c>
      <c r="I51" s="58">
        <v>44166</v>
      </c>
      <c r="J51" s="58"/>
      <c r="K51" s="12">
        <v>44531</v>
      </c>
      <c r="L51" s="51">
        <v>80000</v>
      </c>
      <c r="M51" s="51">
        <f>80000-80000</f>
        <v>0</v>
      </c>
      <c r="N51" s="60" t="s">
        <v>86</v>
      </c>
    </row>
    <row r="52" spans="1:14">
      <c r="A52" t="s">
        <v>19</v>
      </c>
      <c r="B52" s="55">
        <v>12211</v>
      </c>
      <c r="C52" s="56" t="s">
        <v>66</v>
      </c>
      <c r="D52" s="6">
        <v>220755</v>
      </c>
      <c r="E52" s="53">
        <v>44448</v>
      </c>
      <c r="F52" s="1" t="s">
        <v>87</v>
      </c>
      <c r="G52" s="113">
        <v>929867</v>
      </c>
      <c r="H52" s="55"/>
      <c r="I52" s="58"/>
      <c r="J52" s="58"/>
      <c r="K52" s="12">
        <v>1</v>
      </c>
      <c r="L52" s="51"/>
      <c r="M52" s="51">
        <f>80000-80000</f>
        <v>0</v>
      </c>
      <c r="N52" s="60" t="s">
        <v>78</v>
      </c>
    </row>
    <row r="53" spans="1:14" ht="26.25">
      <c r="A53" t="s">
        <v>19</v>
      </c>
      <c r="B53" s="55">
        <v>12211</v>
      </c>
      <c r="C53" s="56" t="s">
        <v>66</v>
      </c>
      <c r="D53" s="6">
        <v>221138</v>
      </c>
      <c r="E53" s="53">
        <v>44293</v>
      </c>
      <c r="F53" s="1" t="s">
        <v>88</v>
      </c>
      <c r="G53" s="113">
        <v>918938</v>
      </c>
      <c r="H53" s="55">
        <v>1340</v>
      </c>
      <c r="I53" s="58">
        <v>44136</v>
      </c>
      <c r="J53" s="58"/>
      <c r="K53" s="12">
        <v>44501</v>
      </c>
      <c r="L53" s="51">
        <v>40000</v>
      </c>
      <c r="M53" s="51">
        <f>40000-40000</f>
        <v>0</v>
      </c>
      <c r="N53" s="60" t="s">
        <v>89</v>
      </c>
    </row>
    <row r="54" spans="1:14">
      <c r="A54" t="s">
        <v>19</v>
      </c>
      <c r="B54" s="55">
        <v>12211</v>
      </c>
      <c r="C54" s="56" t="s">
        <v>66</v>
      </c>
      <c r="D54" s="6">
        <v>221630</v>
      </c>
      <c r="E54" s="53">
        <v>44377</v>
      </c>
      <c r="F54" s="1" t="s">
        <v>90</v>
      </c>
      <c r="G54" s="113">
        <v>932711</v>
      </c>
      <c r="H54" s="55">
        <v>1915</v>
      </c>
      <c r="I54" s="58">
        <v>44136</v>
      </c>
      <c r="J54" s="58"/>
      <c r="K54" s="12">
        <v>44682</v>
      </c>
      <c r="L54" s="51">
        <v>5000</v>
      </c>
      <c r="M54" s="51">
        <f>-5000+5000</f>
        <v>0</v>
      </c>
      <c r="N54" s="60" t="s">
        <v>82</v>
      </c>
    </row>
    <row r="55" spans="1:14">
      <c r="A55" t="s">
        <v>19</v>
      </c>
      <c r="B55" s="55">
        <v>12211</v>
      </c>
      <c r="C55" s="56" t="s">
        <v>66</v>
      </c>
      <c r="D55" s="6">
        <v>221655</v>
      </c>
      <c r="E55" s="53">
        <v>44377</v>
      </c>
      <c r="F55" s="1" t="s">
        <v>91</v>
      </c>
      <c r="G55" s="113">
        <v>934119</v>
      </c>
      <c r="H55" s="55">
        <v>1655</v>
      </c>
      <c r="I55" s="58">
        <v>44295</v>
      </c>
      <c r="J55" s="58"/>
      <c r="K55" s="12">
        <v>45025</v>
      </c>
      <c r="L55" s="51">
        <v>100000</v>
      </c>
      <c r="M55" s="51">
        <v>-100000</v>
      </c>
      <c r="N55" s="60" t="s">
        <v>92</v>
      </c>
    </row>
    <row r="56" spans="1:14">
      <c r="A56" t="s">
        <v>19</v>
      </c>
      <c r="B56" s="55">
        <v>12211</v>
      </c>
      <c r="C56" s="56" t="s">
        <v>66</v>
      </c>
      <c r="D56" s="6">
        <v>221791</v>
      </c>
      <c r="E56" s="53"/>
      <c r="F56" s="1" t="s">
        <v>93</v>
      </c>
      <c r="G56" s="113">
        <v>931574</v>
      </c>
      <c r="H56" s="55">
        <v>2925</v>
      </c>
      <c r="I56" s="58">
        <v>44120</v>
      </c>
      <c r="J56" s="58"/>
      <c r="K56" s="12"/>
      <c r="L56" s="51">
        <v>224850</v>
      </c>
      <c r="M56" s="51">
        <f>-224850+112425</f>
        <v>-112425</v>
      </c>
      <c r="N56" s="60"/>
    </row>
    <row r="57" spans="1:14">
      <c r="A57" t="s">
        <v>19</v>
      </c>
      <c r="B57" s="55">
        <v>12211</v>
      </c>
      <c r="C57" s="56" t="s">
        <v>66</v>
      </c>
      <c r="D57" s="6">
        <v>221842</v>
      </c>
      <c r="E57" s="53">
        <v>44379</v>
      </c>
      <c r="F57" s="1" t="s">
        <v>94</v>
      </c>
      <c r="G57" s="113">
        <v>932340</v>
      </c>
      <c r="H57" s="55">
        <v>1775</v>
      </c>
      <c r="I57" s="58">
        <v>44144</v>
      </c>
      <c r="J57" s="58"/>
      <c r="K57" s="12">
        <v>44874</v>
      </c>
      <c r="L57" s="51">
        <v>85000</v>
      </c>
      <c r="M57" s="51">
        <f>-85000+85000</f>
        <v>0</v>
      </c>
      <c r="N57" s="60"/>
    </row>
    <row r="58" spans="1:14">
      <c r="A58" t="s">
        <v>19</v>
      </c>
      <c r="B58" s="55">
        <v>12211</v>
      </c>
      <c r="C58" s="56" t="s">
        <v>66</v>
      </c>
      <c r="D58" s="6">
        <v>222559</v>
      </c>
      <c r="E58" s="53">
        <v>44454</v>
      </c>
      <c r="F58" s="1" t="s">
        <v>95</v>
      </c>
      <c r="G58" s="113">
        <v>935609</v>
      </c>
      <c r="H58" s="55">
        <v>1625</v>
      </c>
      <c r="I58" s="58">
        <v>44531</v>
      </c>
      <c r="J58" s="58"/>
      <c r="K58" s="12">
        <v>44896</v>
      </c>
      <c r="L58" s="51">
        <v>71550</v>
      </c>
      <c r="M58" s="51">
        <v>-71550</v>
      </c>
      <c r="N58" s="60" t="s">
        <v>29</v>
      </c>
    </row>
    <row r="59" spans="1:14">
      <c r="A59" t="s">
        <v>19</v>
      </c>
      <c r="B59" s="55">
        <v>12211</v>
      </c>
      <c r="C59" s="56" t="s">
        <v>66</v>
      </c>
      <c r="D59" s="6">
        <v>222593</v>
      </c>
      <c r="E59" s="53">
        <v>44454</v>
      </c>
      <c r="F59" s="1" t="s">
        <v>96</v>
      </c>
      <c r="G59" s="113">
        <v>935904</v>
      </c>
      <c r="H59" s="55">
        <v>1985</v>
      </c>
      <c r="I59" s="58">
        <v>44448</v>
      </c>
      <c r="J59" s="58"/>
      <c r="K59" s="12">
        <v>1</v>
      </c>
      <c r="L59" s="51">
        <v>473900</v>
      </c>
      <c r="M59" s="51">
        <f>-473900+284340+189560</f>
        <v>0</v>
      </c>
      <c r="N59" s="60"/>
    </row>
    <row r="60" spans="1:14">
      <c r="A60" t="s">
        <v>19</v>
      </c>
      <c r="B60" s="55">
        <v>12211</v>
      </c>
      <c r="C60" s="56" t="s">
        <v>66</v>
      </c>
      <c r="D60" s="6">
        <v>222605</v>
      </c>
      <c r="E60" s="53">
        <v>44454</v>
      </c>
      <c r="F60" s="1" t="s">
        <v>97</v>
      </c>
      <c r="G60" s="113">
        <v>936367</v>
      </c>
      <c r="H60" s="55">
        <v>1945</v>
      </c>
      <c r="I60" s="58">
        <v>44575</v>
      </c>
      <c r="J60" s="58"/>
      <c r="K60" s="12">
        <v>45487</v>
      </c>
      <c r="L60" s="51">
        <v>599850</v>
      </c>
      <c r="M60" s="51">
        <v>-599850</v>
      </c>
      <c r="N60" s="60" t="s">
        <v>98</v>
      </c>
    </row>
    <row r="61" spans="1:14">
      <c r="A61" t="s">
        <v>19</v>
      </c>
      <c r="B61" s="55">
        <v>12211</v>
      </c>
      <c r="C61" s="56" t="s">
        <v>66</v>
      </c>
      <c r="D61" s="6">
        <v>222606</v>
      </c>
      <c r="E61" s="53">
        <v>44454</v>
      </c>
      <c r="F61" s="1" t="s">
        <v>99</v>
      </c>
      <c r="G61" s="113">
        <v>936368</v>
      </c>
      <c r="H61" s="55">
        <v>1920</v>
      </c>
      <c r="I61" s="58">
        <v>44593</v>
      </c>
      <c r="J61" s="58"/>
      <c r="K61" s="12">
        <v>45139</v>
      </c>
      <c r="L61" s="51">
        <v>162500</v>
      </c>
      <c r="M61" s="51">
        <f>-162500+65000</f>
        <v>-97500</v>
      </c>
      <c r="N61" s="60" t="s">
        <v>100</v>
      </c>
    </row>
    <row r="62" spans="1:14">
      <c r="A62" t="s">
        <v>19</v>
      </c>
      <c r="B62" s="55">
        <v>12211</v>
      </c>
      <c r="C62" s="56" t="s">
        <v>66</v>
      </c>
      <c r="D62" s="6">
        <v>222802</v>
      </c>
      <c r="E62" s="53">
        <v>44501</v>
      </c>
      <c r="F62" s="1" t="s">
        <v>101</v>
      </c>
      <c r="G62" s="113">
        <v>937042</v>
      </c>
      <c r="H62" s="55">
        <v>2550</v>
      </c>
      <c r="I62" s="58">
        <v>44586</v>
      </c>
      <c r="J62" s="58"/>
      <c r="K62" s="12">
        <v>45315</v>
      </c>
      <c r="L62" s="51">
        <v>150000</v>
      </c>
      <c r="M62" s="51">
        <v>-150000</v>
      </c>
      <c r="N62" s="60" t="s">
        <v>102</v>
      </c>
    </row>
    <row r="63" spans="1:14">
      <c r="A63" t="s">
        <v>19</v>
      </c>
      <c r="B63" s="55">
        <v>12211</v>
      </c>
      <c r="C63" s="56" t="s">
        <v>66</v>
      </c>
      <c r="D63" s="6">
        <v>222803</v>
      </c>
      <c r="E63" s="53">
        <v>44501</v>
      </c>
      <c r="F63" s="1" t="s">
        <v>103</v>
      </c>
      <c r="G63" s="113">
        <v>936290</v>
      </c>
      <c r="H63" s="55">
        <v>9198</v>
      </c>
      <c r="I63" s="58">
        <v>44491</v>
      </c>
      <c r="J63" s="58"/>
      <c r="K63" s="12">
        <v>44855</v>
      </c>
      <c r="L63" s="51">
        <v>5000</v>
      </c>
      <c r="M63" s="51">
        <f>-5000+5000</f>
        <v>0</v>
      </c>
      <c r="N63" s="60" t="s">
        <v>29</v>
      </c>
    </row>
    <row r="64" spans="1:14">
      <c r="A64" t="s">
        <v>19</v>
      </c>
      <c r="B64" s="55">
        <v>12211</v>
      </c>
      <c r="C64" s="56" t="s">
        <v>66</v>
      </c>
      <c r="D64" s="6">
        <v>222804</v>
      </c>
      <c r="E64" s="53">
        <v>44501</v>
      </c>
      <c r="F64" s="1" t="s">
        <v>104</v>
      </c>
      <c r="G64" s="113">
        <v>936688</v>
      </c>
      <c r="H64" s="55">
        <v>1905</v>
      </c>
      <c r="I64" s="58">
        <v>44506</v>
      </c>
      <c r="J64" s="58"/>
      <c r="K64" s="12">
        <v>45235</v>
      </c>
      <c r="L64" s="51">
        <v>40000</v>
      </c>
      <c r="M64" s="51">
        <v>-40000</v>
      </c>
      <c r="N64" s="60" t="s">
        <v>102</v>
      </c>
    </row>
    <row r="65" spans="1:14">
      <c r="A65" t="s">
        <v>19</v>
      </c>
      <c r="B65" s="55">
        <v>12211</v>
      </c>
      <c r="C65" s="56" t="s">
        <v>66</v>
      </c>
      <c r="D65" s="6">
        <v>222805</v>
      </c>
      <c r="E65" s="53">
        <v>44501</v>
      </c>
      <c r="F65" s="1" t="s">
        <v>105</v>
      </c>
      <c r="G65" s="113">
        <v>937018</v>
      </c>
      <c r="H65" s="55">
        <v>1867</v>
      </c>
      <c r="I65" s="58">
        <v>44506</v>
      </c>
      <c r="J65" s="58"/>
      <c r="K65" s="12">
        <v>45235</v>
      </c>
      <c r="L65" s="51">
        <v>40000</v>
      </c>
      <c r="M65" s="51">
        <v>-40000</v>
      </c>
      <c r="N65" s="60" t="s">
        <v>102</v>
      </c>
    </row>
    <row r="66" spans="1:14">
      <c r="A66" t="s">
        <v>19</v>
      </c>
      <c r="B66" s="55">
        <v>12211</v>
      </c>
      <c r="C66" s="56" t="s">
        <v>66</v>
      </c>
      <c r="D66" s="6">
        <v>222946</v>
      </c>
      <c r="E66" s="53">
        <v>44531</v>
      </c>
      <c r="F66" s="1" t="s">
        <v>106</v>
      </c>
      <c r="G66" s="113">
        <v>937118</v>
      </c>
      <c r="H66" s="55">
        <v>9191</v>
      </c>
      <c r="I66" s="58">
        <v>44509</v>
      </c>
      <c r="J66" s="58"/>
      <c r="K66" s="12">
        <v>44873</v>
      </c>
      <c r="L66" s="51">
        <v>60000</v>
      </c>
      <c r="M66" s="51">
        <f>-60000+60000</f>
        <v>0</v>
      </c>
      <c r="N66" s="60" t="s">
        <v>29</v>
      </c>
    </row>
    <row r="67" spans="1:14" ht="12.6" customHeight="1">
      <c r="A67" t="s">
        <v>19</v>
      </c>
      <c r="B67" s="55">
        <v>12211</v>
      </c>
      <c r="C67" s="56" t="s">
        <v>66</v>
      </c>
      <c r="D67" s="6">
        <v>222954</v>
      </c>
      <c r="E67" s="53">
        <v>44531</v>
      </c>
      <c r="F67" s="1" t="s">
        <v>107</v>
      </c>
      <c r="G67" s="113">
        <v>930510</v>
      </c>
      <c r="H67" s="55">
        <v>2850</v>
      </c>
      <c r="I67" s="58">
        <v>43770</v>
      </c>
      <c r="J67" s="58"/>
      <c r="K67" s="12">
        <v>44135</v>
      </c>
      <c r="L67" s="51">
        <v>225000</v>
      </c>
      <c r="M67" s="51">
        <v>-225000</v>
      </c>
      <c r="N67" s="60" t="s">
        <v>29</v>
      </c>
    </row>
    <row r="68" spans="1:14">
      <c r="A68" t="s">
        <v>19</v>
      </c>
      <c r="B68" s="55">
        <v>12211</v>
      </c>
      <c r="C68" s="56" t="s">
        <v>66</v>
      </c>
      <c r="D68" s="6">
        <v>222955</v>
      </c>
      <c r="E68" s="53">
        <v>44561</v>
      </c>
      <c r="F68" s="1" t="s">
        <v>108</v>
      </c>
      <c r="G68" s="113">
        <v>931305</v>
      </c>
      <c r="H68" s="55">
        <v>1395</v>
      </c>
      <c r="I68" s="58">
        <v>44027</v>
      </c>
      <c r="J68" s="58"/>
      <c r="K68" s="12">
        <v>44607</v>
      </c>
      <c r="L68" s="51">
        <v>300000</v>
      </c>
      <c r="M68" s="51">
        <f>-300000+300000</f>
        <v>0</v>
      </c>
      <c r="N68" s="60" t="s">
        <v>109</v>
      </c>
    </row>
    <row r="69" spans="1:14">
      <c r="A69" s="1" t="s">
        <v>19</v>
      </c>
      <c r="B69" s="55">
        <v>12211</v>
      </c>
      <c r="C69" s="56" t="s">
        <v>66</v>
      </c>
      <c r="D69" s="6">
        <v>222644</v>
      </c>
      <c r="E69" s="53">
        <v>44454</v>
      </c>
      <c r="F69" t="s">
        <v>110</v>
      </c>
      <c r="G69" s="113">
        <v>936158</v>
      </c>
      <c r="H69" s="55">
        <v>2570</v>
      </c>
      <c r="I69" s="58">
        <v>44631</v>
      </c>
      <c r="J69" s="58"/>
      <c r="K69" s="12">
        <v>11719</v>
      </c>
      <c r="L69" s="51">
        <v>1302000</v>
      </c>
      <c r="M69" s="51">
        <f>-1302000-45000+500000</f>
        <v>-847000</v>
      </c>
      <c r="N69" s="60" t="s">
        <v>111</v>
      </c>
    </row>
    <row r="70" spans="1:14">
      <c r="A70" s="1" t="s">
        <v>19</v>
      </c>
      <c r="B70" s="6">
        <v>12211</v>
      </c>
      <c r="C70" s="2" t="s">
        <v>66</v>
      </c>
      <c r="D70" s="6">
        <v>223135</v>
      </c>
      <c r="E70" s="4">
        <v>44562</v>
      </c>
      <c r="F70" t="s">
        <v>112</v>
      </c>
      <c r="G70" s="113">
        <v>932430</v>
      </c>
      <c r="H70" s="61">
        <v>2625</v>
      </c>
      <c r="I70" s="12"/>
      <c r="J70" s="12"/>
      <c r="K70" s="7" t="s">
        <v>129</v>
      </c>
      <c r="L70" s="51">
        <v>125100</v>
      </c>
      <c r="M70" s="51">
        <v>-125100</v>
      </c>
      <c r="N70" s="60"/>
    </row>
    <row r="71" spans="1:14">
      <c r="A71" s="1" t="s">
        <v>19</v>
      </c>
      <c r="B71" s="6">
        <v>12211</v>
      </c>
      <c r="C71" s="2" t="s">
        <v>66</v>
      </c>
      <c r="D71" s="6">
        <v>221752</v>
      </c>
      <c r="E71" s="47">
        <v>44575</v>
      </c>
      <c r="F71" t="s">
        <v>113</v>
      </c>
      <c r="G71" s="113">
        <v>934720</v>
      </c>
      <c r="H71" s="62"/>
      <c r="I71" s="53"/>
      <c r="J71" s="53"/>
      <c r="K71" s="7" t="s">
        <v>129</v>
      </c>
      <c r="L71" s="51"/>
      <c r="M71" s="51">
        <f>280000-280000</f>
        <v>0</v>
      </c>
      <c r="N71" s="60"/>
    </row>
    <row r="72" spans="1:14">
      <c r="A72" s="1" t="s">
        <v>19</v>
      </c>
      <c r="B72" s="6">
        <v>12211</v>
      </c>
      <c r="C72" s="2" t="s">
        <v>66</v>
      </c>
      <c r="D72" s="6">
        <v>223575</v>
      </c>
      <c r="E72" s="4">
        <v>44592</v>
      </c>
      <c r="F72" t="s">
        <v>114</v>
      </c>
      <c r="G72" s="113">
        <v>937864</v>
      </c>
      <c r="H72" s="61">
        <v>1870</v>
      </c>
      <c r="I72" s="12"/>
      <c r="J72" s="12"/>
      <c r="K72" s="7" t="s">
        <v>129</v>
      </c>
      <c r="L72" s="51">
        <v>115000</v>
      </c>
      <c r="M72" s="51">
        <v>-115000</v>
      </c>
      <c r="N72" s="60"/>
    </row>
    <row r="73" spans="1:14">
      <c r="A73" s="1" t="s">
        <v>19</v>
      </c>
      <c r="B73" s="6">
        <v>12211</v>
      </c>
      <c r="C73" s="2" t="s">
        <v>66</v>
      </c>
      <c r="D73" s="6">
        <v>221748</v>
      </c>
      <c r="E73" s="4">
        <v>44651</v>
      </c>
      <c r="F73" t="s">
        <v>115</v>
      </c>
      <c r="G73" s="113">
        <v>934964</v>
      </c>
      <c r="H73" s="61">
        <v>1937</v>
      </c>
      <c r="I73" s="12"/>
      <c r="J73" s="12"/>
      <c r="K73" s="7" t="s">
        <v>129</v>
      </c>
      <c r="L73" s="51">
        <v>122500</v>
      </c>
      <c r="M73" s="51">
        <v>-122500</v>
      </c>
      <c r="N73" s="60"/>
    </row>
    <row r="74" spans="1:14">
      <c r="A74" s="1" t="s">
        <v>19</v>
      </c>
      <c r="B74" s="6">
        <v>12211</v>
      </c>
      <c r="C74" s="2" t="s">
        <v>66</v>
      </c>
      <c r="D74" s="6">
        <v>223905</v>
      </c>
      <c r="E74" s="4">
        <v>44663</v>
      </c>
      <c r="F74" t="s">
        <v>116</v>
      </c>
      <c r="G74" s="113">
        <v>937989</v>
      </c>
      <c r="H74" s="61"/>
      <c r="I74" s="12"/>
      <c r="J74" s="12"/>
      <c r="K74" s="7" t="s">
        <v>129</v>
      </c>
      <c r="L74" s="51"/>
      <c r="M74" s="51">
        <v>-2256490</v>
      </c>
      <c r="N74" s="60"/>
    </row>
    <row r="75" spans="1:14">
      <c r="A75" s="1" t="s">
        <v>117</v>
      </c>
      <c r="B75" s="6">
        <v>12215</v>
      </c>
      <c r="C75" s="2" t="s">
        <v>118</v>
      </c>
      <c r="D75" s="6">
        <v>215629</v>
      </c>
      <c r="E75" s="4">
        <v>43892</v>
      </c>
      <c r="F75" t="s">
        <v>119</v>
      </c>
      <c r="G75" s="113">
        <v>929469</v>
      </c>
      <c r="H75" s="61">
        <v>9045</v>
      </c>
      <c r="I75" s="12">
        <v>43831</v>
      </c>
      <c r="J75" s="12"/>
      <c r="K75" s="12">
        <v>44197</v>
      </c>
      <c r="L75" s="51">
        <v>15000</v>
      </c>
      <c r="M75" s="51">
        <f>-15000+15000</f>
        <v>0</v>
      </c>
      <c r="N75" s="60" t="s">
        <v>29</v>
      </c>
    </row>
    <row r="76" spans="1:14">
      <c r="A76" s="1" t="s">
        <v>120</v>
      </c>
      <c r="B76" s="55">
        <v>12216</v>
      </c>
      <c r="C76" s="56" t="s">
        <v>121</v>
      </c>
      <c r="D76" s="6">
        <v>142786</v>
      </c>
      <c r="E76" s="47">
        <v>42208</v>
      </c>
      <c r="F76" t="s">
        <v>122</v>
      </c>
      <c r="G76" s="113">
        <v>909601</v>
      </c>
      <c r="H76" s="63" t="s">
        <v>123</v>
      </c>
      <c r="I76" s="12">
        <v>42186</v>
      </c>
      <c r="J76" s="12"/>
      <c r="K76" s="12">
        <v>42551</v>
      </c>
      <c r="L76" s="51">
        <v>0</v>
      </c>
      <c r="M76" s="51">
        <f>-600000+126808.06+192574.6</f>
        <v>-280617.33999999997</v>
      </c>
      <c r="N76" s="64" t="s">
        <v>124</v>
      </c>
    </row>
    <row r="77" spans="1:14">
      <c r="A77" s="1" t="s">
        <v>120</v>
      </c>
      <c r="B77" s="6">
        <v>12216</v>
      </c>
      <c r="C77" s="2" t="s">
        <v>121</v>
      </c>
      <c r="D77" s="6">
        <v>93131</v>
      </c>
      <c r="E77" s="53">
        <v>40633</v>
      </c>
      <c r="F77" t="s">
        <v>125</v>
      </c>
      <c r="G77" s="113">
        <v>12718</v>
      </c>
      <c r="H77" s="62">
        <v>2052</v>
      </c>
      <c r="I77" s="53">
        <v>40575</v>
      </c>
      <c r="J77" s="53"/>
      <c r="K77" s="12">
        <v>44227</v>
      </c>
      <c r="L77" s="51">
        <v>0</v>
      </c>
      <c r="M77" s="51">
        <v>-88000</v>
      </c>
      <c r="N77" s="64" t="s">
        <v>126</v>
      </c>
    </row>
    <row r="78" spans="1:14">
      <c r="A78" s="1" t="s">
        <v>120</v>
      </c>
      <c r="B78" s="6">
        <v>12216</v>
      </c>
      <c r="C78" s="2" t="s">
        <v>121</v>
      </c>
      <c r="D78" s="6">
        <v>127302</v>
      </c>
      <c r="E78" s="53" t="s">
        <v>127</v>
      </c>
      <c r="F78" s="1" t="s">
        <v>128</v>
      </c>
      <c r="G78" s="113">
        <v>254975</v>
      </c>
      <c r="H78" s="62">
        <v>9062</v>
      </c>
      <c r="I78" s="53" t="s">
        <v>129</v>
      </c>
      <c r="J78" s="53"/>
      <c r="K78" s="12" t="s">
        <v>129</v>
      </c>
      <c r="L78" s="51">
        <v>0</v>
      </c>
      <c r="M78" s="51">
        <v>-7193</v>
      </c>
      <c r="N78" s="64" t="s">
        <v>130</v>
      </c>
    </row>
    <row r="79" spans="1:14" ht="12.75" customHeight="1">
      <c r="A79" s="1" t="s">
        <v>120</v>
      </c>
      <c r="B79" s="6">
        <v>12216</v>
      </c>
      <c r="C79" s="2" t="s">
        <v>121</v>
      </c>
      <c r="D79" s="65">
        <v>141906</v>
      </c>
      <c r="E79" s="4" t="s">
        <v>127</v>
      </c>
      <c r="F79" s="1" t="s">
        <v>131</v>
      </c>
      <c r="G79" s="75">
        <v>909632</v>
      </c>
      <c r="H79" s="6">
        <v>9252</v>
      </c>
      <c r="I79" s="7" t="s">
        <v>129</v>
      </c>
      <c r="K79" s="7" t="s">
        <v>129</v>
      </c>
      <c r="L79" s="51">
        <v>0</v>
      </c>
      <c r="M79" s="51">
        <v>-1393</v>
      </c>
      <c r="N79" s="64" t="s">
        <v>130</v>
      </c>
    </row>
    <row r="80" spans="1:14" ht="12.75" customHeight="1">
      <c r="A80" s="1" t="s">
        <v>120</v>
      </c>
      <c r="B80" s="6">
        <v>12216</v>
      </c>
      <c r="C80" s="2" t="s">
        <v>121</v>
      </c>
      <c r="D80" s="65" t="s">
        <v>129</v>
      </c>
      <c r="F80" s="1" t="s">
        <v>132</v>
      </c>
      <c r="G80" s="75" t="s">
        <v>129</v>
      </c>
      <c r="H80" s="6">
        <v>1224</v>
      </c>
      <c r="L80" s="51">
        <v>0</v>
      </c>
      <c r="M80" s="51">
        <v>185000</v>
      </c>
      <c r="N80" s="64" t="s">
        <v>133</v>
      </c>
    </row>
    <row r="81" spans="1:14" ht="77.25">
      <c r="A81" s="1" t="s">
        <v>117</v>
      </c>
      <c r="B81" s="6">
        <v>12217</v>
      </c>
      <c r="C81" s="2" t="s">
        <v>134</v>
      </c>
      <c r="D81" s="65">
        <v>187105</v>
      </c>
      <c r="E81" s="4">
        <v>42998</v>
      </c>
      <c r="F81" s="1" t="s">
        <v>135</v>
      </c>
      <c r="G81" s="75" t="s">
        <v>136</v>
      </c>
      <c r="H81" s="6">
        <v>9067</v>
      </c>
      <c r="I81" s="7">
        <v>42979</v>
      </c>
      <c r="K81" s="7">
        <v>43343</v>
      </c>
      <c r="L81" s="51">
        <v>5000</v>
      </c>
      <c r="M81" s="51">
        <f>-5000+5000</f>
        <v>0</v>
      </c>
      <c r="N81" s="59" t="s">
        <v>137</v>
      </c>
    </row>
    <row r="82" spans="1:14">
      <c r="A82" t="s">
        <v>117</v>
      </c>
      <c r="B82" s="6">
        <v>12217</v>
      </c>
      <c r="C82" s="2" t="s">
        <v>134</v>
      </c>
      <c r="D82" s="6">
        <v>193239</v>
      </c>
      <c r="E82" s="53">
        <v>43281</v>
      </c>
      <c r="F82" t="s">
        <v>138</v>
      </c>
      <c r="G82" s="113">
        <v>923819</v>
      </c>
      <c r="H82" s="66">
        <v>1058</v>
      </c>
      <c r="I82" s="12">
        <v>43252</v>
      </c>
      <c r="J82" s="12"/>
      <c r="K82" s="12">
        <v>43616</v>
      </c>
      <c r="L82" s="51">
        <v>10000</v>
      </c>
      <c r="M82" s="51">
        <f>-10000+10000</f>
        <v>0</v>
      </c>
      <c r="N82" s="52" t="s">
        <v>29</v>
      </c>
    </row>
    <row r="83" spans="1:14" ht="12.6" customHeight="1">
      <c r="A83" t="s">
        <v>117</v>
      </c>
      <c r="B83" s="6">
        <v>12217</v>
      </c>
      <c r="C83" s="2" t="s">
        <v>134</v>
      </c>
      <c r="D83" s="6">
        <v>195355</v>
      </c>
      <c r="E83" s="53">
        <v>43369</v>
      </c>
      <c r="F83" s="1" t="s">
        <v>139</v>
      </c>
      <c r="G83" s="113">
        <v>925167</v>
      </c>
      <c r="H83" s="66">
        <v>2015</v>
      </c>
      <c r="I83" s="12">
        <v>43435</v>
      </c>
      <c r="J83" s="12"/>
      <c r="K83" s="7" t="s">
        <v>129</v>
      </c>
      <c r="L83" s="51">
        <v>2644900</v>
      </c>
      <c r="M83" s="10">
        <f>-2644900+881633.33+1763266.67</f>
        <v>0</v>
      </c>
      <c r="N83" s="11" t="s">
        <v>140</v>
      </c>
    </row>
    <row r="84" spans="1:14">
      <c r="A84" t="s">
        <v>117</v>
      </c>
      <c r="B84" s="6">
        <v>12217</v>
      </c>
      <c r="C84" s="2" t="s">
        <v>134</v>
      </c>
      <c r="D84" s="6">
        <v>216237</v>
      </c>
      <c r="E84" s="53">
        <v>43924</v>
      </c>
      <c r="F84" s="1" t="s">
        <v>141</v>
      </c>
      <c r="G84" s="113">
        <v>930939</v>
      </c>
      <c r="H84" s="66">
        <v>2040</v>
      </c>
      <c r="I84" s="12">
        <v>44105</v>
      </c>
      <c r="J84" s="12"/>
      <c r="K84" s="7" t="s">
        <v>129</v>
      </c>
      <c r="L84" s="51">
        <v>10000000</v>
      </c>
      <c r="M84" s="10">
        <f>-10000000+5000000+4000000+1000000</f>
        <v>0</v>
      </c>
      <c r="N84" s="52" t="s">
        <v>140</v>
      </c>
    </row>
    <row r="85" spans="1:14">
      <c r="A85" t="s">
        <v>117</v>
      </c>
      <c r="B85" s="6">
        <v>12217</v>
      </c>
      <c r="C85" s="2" t="s">
        <v>134</v>
      </c>
      <c r="D85" s="6">
        <v>219839</v>
      </c>
      <c r="E85" s="53">
        <v>44092</v>
      </c>
      <c r="F85" s="1" t="s">
        <v>142</v>
      </c>
      <c r="G85" s="113">
        <v>931587</v>
      </c>
      <c r="H85" s="66">
        <v>1140</v>
      </c>
      <c r="I85" s="12">
        <v>43915</v>
      </c>
      <c r="J85" s="12"/>
      <c r="K85" s="7" t="s">
        <v>129</v>
      </c>
      <c r="L85" s="51"/>
      <c r="M85" s="10">
        <f>200000-200000</f>
        <v>0</v>
      </c>
      <c r="N85" s="52" t="s">
        <v>29</v>
      </c>
    </row>
    <row r="86" spans="1:14">
      <c r="A86" t="s">
        <v>19</v>
      </c>
      <c r="B86" s="6">
        <v>12229</v>
      </c>
      <c r="C86" s="2" t="s">
        <v>143</v>
      </c>
      <c r="D86" s="6">
        <v>147331</v>
      </c>
      <c r="E86" s="53" t="s">
        <v>144</v>
      </c>
      <c r="F86" s="1" t="s">
        <v>145</v>
      </c>
      <c r="G86" s="113">
        <v>911651</v>
      </c>
      <c r="H86" s="66">
        <v>21</v>
      </c>
      <c r="I86" s="12">
        <v>42257</v>
      </c>
      <c r="J86" s="12"/>
      <c r="K86" s="67">
        <v>46053</v>
      </c>
      <c r="L86" s="51">
        <v>12000</v>
      </c>
      <c r="M86" s="51">
        <f>-12000+12000</f>
        <v>0</v>
      </c>
      <c r="N86" s="52" t="s">
        <v>47</v>
      </c>
    </row>
    <row r="87" spans="1:14">
      <c r="A87" t="s">
        <v>19</v>
      </c>
      <c r="B87" s="6">
        <v>12229</v>
      </c>
      <c r="C87" s="2" t="s">
        <v>143</v>
      </c>
      <c r="D87" s="6">
        <v>194928</v>
      </c>
      <c r="E87" s="53">
        <v>43343</v>
      </c>
      <c r="F87" s="1" t="s">
        <v>146</v>
      </c>
      <c r="G87" s="113">
        <v>924787</v>
      </c>
      <c r="H87" s="66">
        <v>9080</v>
      </c>
      <c r="I87" s="12">
        <v>43313</v>
      </c>
      <c r="J87" s="12"/>
      <c r="K87" s="67">
        <v>43677</v>
      </c>
      <c r="L87" s="51">
        <v>2000</v>
      </c>
      <c r="M87" s="51">
        <v>-2000</v>
      </c>
      <c r="N87" s="52" t="s">
        <v>147</v>
      </c>
    </row>
    <row r="88" spans="1:14">
      <c r="A88" t="s">
        <v>19</v>
      </c>
      <c r="B88" s="6">
        <v>12229</v>
      </c>
      <c r="C88" s="2" t="s">
        <v>143</v>
      </c>
      <c r="D88" s="6">
        <v>197034</v>
      </c>
      <c r="E88" s="53">
        <v>43465</v>
      </c>
      <c r="F88" s="1" t="s">
        <v>148</v>
      </c>
      <c r="G88" s="113">
        <v>926561</v>
      </c>
      <c r="H88" s="66" t="s">
        <v>149</v>
      </c>
      <c r="I88" s="12"/>
      <c r="J88" s="12"/>
      <c r="K88" s="67">
        <v>47269</v>
      </c>
      <c r="L88" s="51">
        <v>416440</v>
      </c>
      <c r="M88" s="51">
        <f>-416440+291508+24986.4+58301.6+41644</f>
        <v>0</v>
      </c>
      <c r="N88" s="52" t="s">
        <v>140</v>
      </c>
    </row>
    <row r="89" spans="1:14" ht="26.25">
      <c r="A89" t="s">
        <v>19</v>
      </c>
      <c r="B89" s="6">
        <v>12229</v>
      </c>
      <c r="C89" s="2" t="s">
        <v>143</v>
      </c>
      <c r="D89" s="6">
        <v>212185</v>
      </c>
      <c r="E89" s="53">
        <v>43686</v>
      </c>
      <c r="F89" s="1" t="s">
        <v>150</v>
      </c>
      <c r="G89" s="113">
        <v>926864</v>
      </c>
      <c r="H89" s="66">
        <v>269</v>
      </c>
      <c r="I89" s="12">
        <v>43665</v>
      </c>
      <c r="J89" s="12"/>
      <c r="K89" s="7" t="s">
        <v>129</v>
      </c>
      <c r="L89" s="51">
        <v>175500</v>
      </c>
      <c r="M89" s="51">
        <f>-175500+131625-500+500+43875</f>
        <v>0</v>
      </c>
      <c r="N89" s="64" t="s">
        <v>151</v>
      </c>
    </row>
    <row r="90" spans="1:14">
      <c r="A90" t="s">
        <v>19</v>
      </c>
      <c r="B90" s="6">
        <v>12229</v>
      </c>
      <c r="C90" s="2" t="s">
        <v>143</v>
      </c>
      <c r="D90" s="6">
        <v>213078</v>
      </c>
      <c r="E90" s="53">
        <v>43752</v>
      </c>
      <c r="F90" s="1" t="s">
        <v>152</v>
      </c>
      <c r="G90" s="113">
        <v>928135</v>
      </c>
      <c r="H90" s="66">
        <v>242</v>
      </c>
      <c r="I90" s="12">
        <v>43702</v>
      </c>
      <c r="J90" s="12"/>
      <c r="K90" s="67">
        <v>44068</v>
      </c>
      <c r="L90" s="51">
        <v>545940</v>
      </c>
      <c r="M90" s="51">
        <f>-545940+545940</f>
        <v>0</v>
      </c>
      <c r="N90" s="52" t="s">
        <v>29</v>
      </c>
    </row>
    <row r="91" spans="1:14">
      <c r="A91" t="s">
        <v>19</v>
      </c>
      <c r="B91" s="6">
        <v>12229</v>
      </c>
      <c r="C91" s="2" t="s">
        <v>143</v>
      </c>
      <c r="D91" s="6">
        <v>215628</v>
      </c>
      <c r="E91" s="53">
        <v>43892</v>
      </c>
      <c r="F91" s="1" t="s">
        <v>153</v>
      </c>
      <c r="G91" s="113">
        <v>930285</v>
      </c>
      <c r="H91" s="66">
        <v>21</v>
      </c>
      <c r="I91" s="12">
        <v>43862</v>
      </c>
      <c r="J91" s="12"/>
      <c r="K91" s="67">
        <v>45688</v>
      </c>
      <c r="L91" s="51">
        <v>31050</v>
      </c>
      <c r="M91" s="51">
        <f>-31050+31050</f>
        <v>0</v>
      </c>
      <c r="N91" s="52" t="s">
        <v>29</v>
      </c>
    </row>
    <row r="92" spans="1:14">
      <c r="A92" t="s">
        <v>19</v>
      </c>
      <c r="B92" s="6">
        <v>12229</v>
      </c>
      <c r="C92" s="2" t="s">
        <v>143</v>
      </c>
      <c r="D92" s="6">
        <v>216230</v>
      </c>
      <c r="E92" s="53">
        <v>43949</v>
      </c>
      <c r="F92" s="1" t="s">
        <v>154</v>
      </c>
      <c r="G92" s="113">
        <v>931306</v>
      </c>
      <c r="H92" s="66">
        <v>87</v>
      </c>
      <c r="I92" s="12"/>
      <c r="J92" s="12"/>
      <c r="K92" s="7" t="s">
        <v>129</v>
      </c>
      <c r="L92" s="51"/>
      <c r="M92" s="51">
        <f>-100000+50000+50000-26028.09+26028.09</f>
        <v>0</v>
      </c>
      <c r="N92" s="52" t="s">
        <v>155</v>
      </c>
    </row>
    <row r="93" spans="1:14" ht="26.25">
      <c r="A93" t="s">
        <v>19</v>
      </c>
      <c r="B93" s="6">
        <v>12229</v>
      </c>
      <c r="C93" s="2" t="s">
        <v>143</v>
      </c>
      <c r="D93" s="6">
        <v>221908</v>
      </c>
      <c r="E93" s="53">
        <v>44469</v>
      </c>
      <c r="F93" s="1" t="s">
        <v>156</v>
      </c>
      <c r="G93" s="113">
        <v>935586</v>
      </c>
      <c r="H93" s="66">
        <v>267</v>
      </c>
      <c r="I93" s="12"/>
      <c r="J93" s="12"/>
      <c r="K93" s="7" t="s">
        <v>129</v>
      </c>
      <c r="L93" s="51">
        <v>50000</v>
      </c>
      <c r="M93" s="51">
        <f>-50000+50000</f>
        <v>0</v>
      </c>
      <c r="N93" s="52" t="s">
        <v>157</v>
      </c>
    </row>
    <row r="94" spans="1:14" ht="51.75">
      <c r="A94" t="s">
        <v>19</v>
      </c>
      <c r="B94" s="6">
        <v>12230</v>
      </c>
      <c r="C94" s="2" t="s">
        <v>158</v>
      </c>
      <c r="D94" s="6">
        <v>141504</v>
      </c>
      <c r="E94" s="47">
        <v>42124</v>
      </c>
      <c r="F94" t="s">
        <v>159</v>
      </c>
      <c r="G94" s="113">
        <v>60484</v>
      </c>
      <c r="H94" s="62" t="s">
        <v>160</v>
      </c>
      <c r="I94" s="12">
        <v>42079</v>
      </c>
      <c r="J94" s="12"/>
      <c r="K94" s="12">
        <v>43861</v>
      </c>
      <c r="L94" s="51">
        <v>10000</v>
      </c>
      <c r="M94" s="51">
        <v>-10000</v>
      </c>
      <c r="N94" s="52" t="s">
        <v>161</v>
      </c>
    </row>
    <row r="95" spans="1:14" ht="12.6" customHeight="1">
      <c r="A95" t="s">
        <v>19</v>
      </c>
      <c r="B95" s="6">
        <v>12230</v>
      </c>
      <c r="C95" s="2" t="s">
        <v>158</v>
      </c>
      <c r="D95" s="6">
        <v>180885</v>
      </c>
      <c r="E95" s="47">
        <v>42674</v>
      </c>
      <c r="F95" t="s">
        <v>162</v>
      </c>
      <c r="G95" s="113">
        <v>915993</v>
      </c>
      <c r="H95" s="62" t="s">
        <v>163</v>
      </c>
      <c r="I95" s="12">
        <v>42658</v>
      </c>
      <c r="J95" s="12"/>
      <c r="K95" s="12">
        <v>46326</v>
      </c>
      <c r="L95" s="51">
        <v>104000</v>
      </c>
      <c r="M95" s="51">
        <f>-104000+93600</f>
        <v>-10400</v>
      </c>
      <c r="N95" s="52" t="s">
        <v>35</v>
      </c>
    </row>
    <row r="96" spans="1:14">
      <c r="A96" t="s">
        <v>19</v>
      </c>
      <c r="B96" s="6">
        <v>12230</v>
      </c>
      <c r="C96" s="2" t="s">
        <v>158</v>
      </c>
      <c r="D96" s="6">
        <v>195387</v>
      </c>
      <c r="E96" s="47">
        <v>43373</v>
      </c>
      <c r="F96" t="s">
        <v>164</v>
      </c>
      <c r="G96" s="113">
        <v>924068</v>
      </c>
      <c r="H96" s="62">
        <v>9020</v>
      </c>
      <c r="I96" s="12">
        <v>43344</v>
      </c>
      <c r="J96" s="12"/>
      <c r="K96" s="12">
        <v>43708</v>
      </c>
      <c r="L96" s="51">
        <v>7500</v>
      </c>
      <c r="M96" s="51">
        <v>-7500</v>
      </c>
      <c r="N96" s="52" t="s">
        <v>29</v>
      </c>
    </row>
    <row r="97" spans="1:14">
      <c r="A97" t="s">
        <v>19</v>
      </c>
      <c r="B97" s="6">
        <v>12230</v>
      </c>
      <c r="C97" s="2" t="s">
        <v>158</v>
      </c>
      <c r="D97" s="6">
        <v>214677</v>
      </c>
      <c r="E97" s="47">
        <v>43801</v>
      </c>
      <c r="F97" t="s">
        <v>156</v>
      </c>
      <c r="G97" s="113">
        <v>929490</v>
      </c>
      <c r="H97" s="62" t="s">
        <v>165</v>
      </c>
      <c r="I97" s="12">
        <v>43769</v>
      </c>
      <c r="J97" s="12"/>
      <c r="K97" s="12">
        <v>47514</v>
      </c>
      <c r="L97" s="51">
        <v>195000</v>
      </c>
      <c r="M97" s="51">
        <f>-195000+175500+14500-5000+5000+5000</f>
        <v>0</v>
      </c>
      <c r="N97" s="52" t="s">
        <v>166</v>
      </c>
    </row>
    <row r="98" spans="1:14">
      <c r="A98" t="s">
        <v>19</v>
      </c>
      <c r="B98" s="6">
        <v>12230</v>
      </c>
      <c r="C98" s="2" t="s">
        <v>158</v>
      </c>
      <c r="D98" s="6">
        <v>214852</v>
      </c>
      <c r="E98" s="47">
        <v>43851</v>
      </c>
      <c r="F98" t="s">
        <v>167</v>
      </c>
      <c r="G98" s="113">
        <v>929328</v>
      </c>
      <c r="H98" s="62" t="s">
        <v>168</v>
      </c>
      <c r="I98" s="12">
        <v>43795</v>
      </c>
      <c r="J98" s="12"/>
      <c r="K98" s="12">
        <v>47452</v>
      </c>
      <c r="L98" s="51">
        <v>411485</v>
      </c>
      <c r="M98" s="51">
        <f>-411485+289423.89-289423.89+411485</f>
        <v>0</v>
      </c>
      <c r="N98" s="52" t="s">
        <v>35</v>
      </c>
    </row>
    <row r="99" spans="1:14" ht="12.6" customHeight="1">
      <c r="A99" t="s">
        <v>19</v>
      </c>
      <c r="B99" s="6">
        <v>12230</v>
      </c>
      <c r="C99" s="2" t="s">
        <v>158</v>
      </c>
      <c r="D99" s="6">
        <v>216343</v>
      </c>
      <c r="E99" s="47">
        <v>43934</v>
      </c>
      <c r="F99" t="s">
        <v>169</v>
      </c>
      <c r="G99" s="113">
        <v>928681</v>
      </c>
      <c r="H99" s="62">
        <v>9240</v>
      </c>
      <c r="I99" s="12">
        <v>43753</v>
      </c>
      <c r="J99" s="12"/>
      <c r="K99" s="12">
        <v>44119</v>
      </c>
      <c r="L99" s="51">
        <v>5000</v>
      </c>
      <c r="M99" s="51">
        <v>-5000</v>
      </c>
      <c r="N99" s="52" t="s">
        <v>29</v>
      </c>
    </row>
    <row r="100" spans="1:14">
      <c r="A100" t="s">
        <v>19</v>
      </c>
      <c r="B100" s="6">
        <v>12230</v>
      </c>
      <c r="C100" s="2" t="s">
        <v>158</v>
      </c>
      <c r="D100" s="65">
        <v>218653</v>
      </c>
      <c r="E100" s="68">
        <v>44013</v>
      </c>
      <c r="F100" t="s">
        <v>170</v>
      </c>
      <c r="G100" s="113">
        <v>931018</v>
      </c>
      <c r="H100" s="62" t="s">
        <v>171</v>
      </c>
      <c r="I100" s="12">
        <v>43952</v>
      </c>
      <c r="J100" s="12"/>
      <c r="K100" s="12">
        <v>44317</v>
      </c>
      <c r="L100" s="51">
        <v>137300</v>
      </c>
      <c r="M100" s="51">
        <v>0</v>
      </c>
      <c r="N100" s="52" t="s">
        <v>29</v>
      </c>
    </row>
    <row r="101" spans="1:14">
      <c r="A101" t="s">
        <v>19</v>
      </c>
      <c r="B101" s="6">
        <v>12230</v>
      </c>
      <c r="C101" s="2" t="s">
        <v>158</v>
      </c>
      <c r="D101" s="65">
        <v>218655</v>
      </c>
      <c r="E101" s="68">
        <v>44196</v>
      </c>
      <c r="F101" t="s">
        <v>172</v>
      </c>
      <c r="G101" s="113">
        <v>929370</v>
      </c>
      <c r="H101" s="62" t="s">
        <v>173</v>
      </c>
      <c r="I101" s="12">
        <v>43845</v>
      </c>
      <c r="J101" s="12"/>
      <c r="K101" s="12">
        <v>44211</v>
      </c>
      <c r="L101" s="51">
        <v>366547</v>
      </c>
      <c r="M101" s="51">
        <f>-366547+91636.75+274910.25</f>
        <v>0</v>
      </c>
      <c r="N101" s="52" t="s">
        <v>29</v>
      </c>
    </row>
    <row r="102" spans="1:14" ht="13.5" customHeight="1">
      <c r="A102" s="1" t="s">
        <v>19</v>
      </c>
      <c r="B102" s="6">
        <v>12230</v>
      </c>
      <c r="C102" s="2" t="s">
        <v>158</v>
      </c>
      <c r="D102" s="6">
        <v>220318</v>
      </c>
      <c r="E102" s="53">
        <v>44196</v>
      </c>
      <c r="F102" t="s">
        <v>174</v>
      </c>
      <c r="G102" s="113">
        <v>931579</v>
      </c>
      <c r="H102" s="62" t="s">
        <v>163</v>
      </c>
      <c r="I102" s="12">
        <v>43985</v>
      </c>
      <c r="J102" s="12"/>
      <c r="K102" s="12">
        <v>44715</v>
      </c>
      <c r="L102" s="51">
        <v>150000</v>
      </c>
      <c r="M102" s="51">
        <f>-150000+140000+10000</f>
        <v>0</v>
      </c>
      <c r="N102" s="69" t="s">
        <v>175</v>
      </c>
    </row>
    <row r="103" spans="1:14" ht="12.75" customHeight="1">
      <c r="A103" s="1" t="s">
        <v>19</v>
      </c>
      <c r="B103" s="6">
        <v>12230</v>
      </c>
      <c r="C103" s="2" t="s">
        <v>158</v>
      </c>
      <c r="D103" s="6">
        <v>220320</v>
      </c>
      <c r="E103" s="47">
        <v>44196</v>
      </c>
      <c r="F103" t="s">
        <v>153</v>
      </c>
      <c r="G103" s="113">
        <v>931027</v>
      </c>
      <c r="H103" s="62" t="s">
        <v>176</v>
      </c>
      <c r="I103" s="12">
        <v>43952</v>
      </c>
      <c r="J103" s="12"/>
      <c r="K103" s="12">
        <v>44317</v>
      </c>
      <c r="L103" s="51">
        <v>47225</v>
      </c>
      <c r="M103" s="51">
        <f>-47225+47225</f>
        <v>0</v>
      </c>
      <c r="N103" s="52" t="s">
        <v>29</v>
      </c>
    </row>
    <row r="104" spans="1:14" ht="15" customHeight="1">
      <c r="A104" t="s">
        <v>19</v>
      </c>
      <c r="B104" s="6">
        <v>12230</v>
      </c>
      <c r="C104" s="2" t="s">
        <v>158</v>
      </c>
      <c r="D104" s="6">
        <v>219854</v>
      </c>
      <c r="E104" s="47">
        <v>44196</v>
      </c>
      <c r="F104" t="s">
        <v>177</v>
      </c>
      <c r="G104" s="113">
        <v>910760</v>
      </c>
      <c r="H104" s="62" t="s">
        <v>178</v>
      </c>
      <c r="I104" s="12">
        <v>44166</v>
      </c>
      <c r="J104" s="12"/>
      <c r="K104" s="67">
        <v>44531</v>
      </c>
      <c r="L104" s="51">
        <v>52000</v>
      </c>
      <c r="M104" s="51">
        <v>-52000</v>
      </c>
      <c r="N104" s="52" t="s">
        <v>29</v>
      </c>
    </row>
    <row r="105" spans="1:14" ht="12.75" customHeight="1">
      <c r="A105" t="s">
        <v>19</v>
      </c>
      <c r="B105" s="6">
        <v>12230</v>
      </c>
      <c r="C105" s="2" t="s">
        <v>158</v>
      </c>
      <c r="D105" s="6">
        <v>220783</v>
      </c>
      <c r="E105" s="47">
        <v>44286</v>
      </c>
      <c r="F105" t="s">
        <v>179</v>
      </c>
      <c r="G105" s="113">
        <v>934131</v>
      </c>
      <c r="H105" s="62" t="s">
        <v>180</v>
      </c>
      <c r="I105" s="12">
        <v>44179</v>
      </c>
      <c r="J105" s="12"/>
      <c r="K105" s="67">
        <v>44544</v>
      </c>
      <c r="L105" s="51">
        <v>30000</v>
      </c>
      <c r="M105" s="51">
        <f>-30000+30000</f>
        <v>0</v>
      </c>
      <c r="N105" s="52" t="s">
        <v>29</v>
      </c>
    </row>
    <row r="106" spans="1:14" ht="12.75" customHeight="1">
      <c r="A106" t="s">
        <v>19</v>
      </c>
      <c r="B106" s="6">
        <v>12230</v>
      </c>
      <c r="C106" s="2" t="s">
        <v>158</v>
      </c>
      <c r="D106" s="6">
        <v>221930</v>
      </c>
      <c r="E106" s="47">
        <v>44414</v>
      </c>
      <c r="F106" t="s">
        <v>181</v>
      </c>
      <c r="G106" s="113">
        <v>933050</v>
      </c>
      <c r="H106" s="62"/>
      <c r="I106" s="12"/>
      <c r="J106" s="12"/>
      <c r="K106" s="7" t="s">
        <v>129</v>
      </c>
      <c r="L106" s="51">
        <v>175000</v>
      </c>
      <c r="M106" s="51">
        <f>-175000+87500+87500</f>
        <v>0</v>
      </c>
      <c r="N106" s="52"/>
    </row>
    <row r="107" spans="1:14" ht="12.75" customHeight="1">
      <c r="A107" t="s">
        <v>19</v>
      </c>
      <c r="B107" s="6">
        <v>12230</v>
      </c>
      <c r="C107" s="2" t="s">
        <v>158</v>
      </c>
      <c r="D107" s="6">
        <v>221746</v>
      </c>
      <c r="E107" s="47"/>
      <c r="F107" t="s">
        <v>182</v>
      </c>
      <c r="G107" s="113">
        <v>935112</v>
      </c>
      <c r="H107" s="62"/>
      <c r="I107" s="12"/>
      <c r="J107" s="12"/>
      <c r="K107" s="7" t="s">
        <v>129</v>
      </c>
      <c r="L107" s="51">
        <v>225000</v>
      </c>
      <c r="M107" s="51">
        <f>112500-225000</f>
        <v>-112500</v>
      </c>
      <c r="N107" s="60"/>
    </row>
    <row r="108" spans="1:14" ht="12.75" customHeight="1">
      <c r="A108" t="s">
        <v>19</v>
      </c>
      <c r="B108" s="6">
        <v>12230</v>
      </c>
      <c r="C108" s="2" t="s">
        <v>158</v>
      </c>
      <c r="D108" s="6">
        <v>221747</v>
      </c>
      <c r="E108" s="47"/>
      <c r="F108" t="s">
        <v>183</v>
      </c>
      <c r="G108" s="113">
        <v>934276</v>
      </c>
      <c r="H108" s="62"/>
      <c r="I108" s="12"/>
      <c r="J108" s="12"/>
      <c r="K108" s="7" t="s">
        <v>129</v>
      </c>
      <c r="L108" s="51">
        <v>202500</v>
      </c>
      <c r="M108" s="51">
        <f>101250-202500</f>
        <v>-101250</v>
      </c>
      <c r="N108" s="60"/>
    </row>
    <row r="109" spans="1:14" ht="12.75" customHeight="1">
      <c r="A109" t="s">
        <v>120</v>
      </c>
      <c r="B109" s="6">
        <v>12232</v>
      </c>
      <c r="C109" s="2" t="s">
        <v>184</v>
      </c>
      <c r="D109" s="6">
        <v>145314</v>
      </c>
      <c r="E109" s="53" t="s">
        <v>185</v>
      </c>
      <c r="F109" t="s">
        <v>186</v>
      </c>
      <c r="G109" s="113">
        <v>80173</v>
      </c>
      <c r="H109" s="62" t="s">
        <v>187</v>
      </c>
      <c r="I109" s="12">
        <v>42262</v>
      </c>
      <c r="J109" s="12"/>
      <c r="K109" s="67">
        <v>42766</v>
      </c>
      <c r="L109" s="51">
        <v>0</v>
      </c>
      <c r="M109" s="51">
        <v>-75000</v>
      </c>
      <c r="N109" s="64" t="s">
        <v>188</v>
      </c>
    </row>
    <row r="110" spans="1:14" ht="12.75" customHeight="1">
      <c r="A110" t="s">
        <v>120</v>
      </c>
      <c r="B110" s="6">
        <v>12232</v>
      </c>
      <c r="C110" s="2" t="s">
        <v>184</v>
      </c>
      <c r="D110" s="6">
        <v>138026</v>
      </c>
      <c r="E110" s="47">
        <v>42155</v>
      </c>
      <c r="F110" t="s">
        <v>189</v>
      </c>
      <c r="G110" s="113">
        <v>905853</v>
      </c>
      <c r="H110" s="62">
        <v>9010</v>
      </c>
      <c r="I110" s="12">
        <v>41944</v>
      </c>
      <c r="J110" s="12"/>
      <c r="K110" s="67">
        <v>42308</v>
      </c>
      <c r="L110" s="51">
        <v>0</v>
      </c>
      <c r="M110" s="51">
        <v>-15000</v>
      </c>
      <c r="N110" s="64" t="s">
        <v>188</v>
      </c>
    </row>
    <row r="111" spans="1:14" ht="12.75" customHeight="1">
      <c r="A111" t="s">
        <v>19</v>
      </c>
      <c r="B111" s="6">
        <v>12234</v>
      </c>
      <c r="C111" s="2" t="s">
        <v>190</v>
      </c>
      <c r="D111" s="6">
        <v>192634</v>
      </c>
      <c r="E111" s="47">
        <v>43252</v>
      </c>
      <c r="F111" t="s">
        <v>191</v>
      </c>
      <c r="G111" s="113">
        <v>923742</v>
      </c>
      <c r="H111" s="62">
        <v>2175</v>
      </c>
      <c r="I111" s="12"/>
      <c r="J111" s="12"/>
      <c r="K111" s="7" t="s">
        <v>129</v>
      </c>
      <c r="L111" s="51">
        <v>740025</v>
      </c>
      <c r="M111" s="51">
        <v>-740025</v>
      </c>
      <c r="N111" s="52" t="s">
        <v>140</v>
      </c>
    </row>
    <row r="112" spans="1:14" ht="12.75" customHeight="1">
      <c r="A112" t="s">
        <v>19</v>
      </c>
      <c r="B112" s="6">
        <v>12234</v>
      </c>
      <c r="C112" s="2" t="s">
        <v>190</v>
      </c>
      <c r="D112" s="6">
        <v>194746</v>
      </c>
      <c r="E112" s="47">
        <v>43328</v>
      </c>
      <c r="F112" t="s">
        <v>192</v>
      </c>
      <c r="G112" s="113">
        <v>921034</v>
      </c>
      <c r="H112" s="62">
        <v>1175</v>
      </c>
      <c r="I112" s="12">
        <v>44197</v>
      </c>
      <c r="J112" s="12"/>
      <c r="K112" s="67">
        <v>46934</v>
      </c>
      <c r="L112" s="51">
        <v>526000</v>
      </c>
      <c r="M112" s="51">
        <f>-526000+175000+175000-280159.78+176000+400000+280159.78-400000</f>
        <v>0</v>
      </c>
      <c r="N112" s="52" t="s">
        <v>193</v>
      </c>
    </row>
    <row r="113" spans="1:14" ht="12.75" customHeight="1">
      <c r="A113" s="1" t="s">
        <v>19</v>
      </c>
      <c r="B113" s="6">
        <v>12234</v>
      </c>
      <c r="C113" s="2" t="s">
        <v>190</v>
      </c>
      <c r="D113" s="6">
        <v>195297</v>
      </c>
      <c r="E113" s="47">
        <v>43367</v>
      </c>
      <c r="F113" t="s">
        <v>194</v>
      </c>
      <c r="G113" s="113">
        <v>925441</v>
      </c>
      <c r="H113" s="62">
        <v>1185</v>
      </c>
      <c r="I113" s="12">
        <v>43404</v>
      </c>
      <c r="J113" s="12"/>
      <c r="K113" s="67">
        <v>43768</v>
      </c>
      <c r="L113" s="51">
        <v>315000</v>
      </c>
      <c r="M113" s="51">
        <f>-315000+105000+105000+105000</f>
        <v>0</v>
      </c>
      <c r="N113" s="52" t="s">
        <v>29</v>
      </c>
    </row>
    <row r="114" spans="1:14" ht="12.75" customHeight="1">
      <c r="A114" t="s">
        <v>19</v>
      </c>
      <c r="B114" s="6">
        <v>12234</v>
      </c>
      <c r="C114" s="2" t="s">
        <v>190</v>
      </c>
      <c r="D114" s="6">
        <v>196440</v>
      </c>
      <c r="E114" s="47">
        <v>43424</v>
      </c>
      <c r="F114" t="s">
        <v>195</v>
      </c>
      <c r="G114" s="113">
        <v>924877</v>
      </c>
      <c r="H114" s="62">
        <v>116</v>
      </c>
      <c r="I114" s="12">
        <v>43419</v>
      </c>
      <c r="J114" s="12"/>
      <c r="K114" s="67">
        <v>43783</v>
      </c>
      <c r="L114" s="51">
        <v>8000</v>
      </c>
      <c r="M114" s="70">
        <f>-8000+8000</f>
        <v>0</v>
      </c>
      <c r="N114" s="52" t="s">
        <v>29</v>
      </c>
    </row>
    <row r="115" spans="1:14" ht="12.75" customHeight="1">
      <c r="A115" s="1" t="s">
        <v>19</v>
      </c>
      <c r="B115" s="6">
        <v>12234</v>
      </c>
      <c r="C115" s="2" t="s">
        <v>190</v>
      </c>
      <c r="D115" s="6">
        <v>212691</v>
      </c>
      <c r="E115" s="47">
        <v>43717</v>
      </c>
      <c r="F115" t="s">
        <v>196</v>
      </c>
      <c r="G115" s="113">
        <v>71780</v>
      </c>
      <c r="H115" s="62">
        <v>125</v>
      </c>
      <c r="I115" s="12">
        <v>43709</v>
      </c>
      <c r="J115" s="12"/>
      <c r="K115" s="67">
        <v>10988</v>
      </c>
      <c r="L115" s="51">
        <v>300000</v>
      </c>
      <c r="M115" s="51">
        <f>-300000+270000+30000</f>
        <v>0</v>
      </c>
      <c r="N115" s="52" t="s">
        <v>111</v>
      </c>
    </row>
    <row r="116" spans="1:14" ht="12.75" customHeight="1">
      <c r="A116" t="s">
        <v>19</v>
      </c>
      <c r="B116" s="6">
        <v>12234</v>
      </c>
      <c r="C116" s="2" t="s">
        <v>190</v>
      </c>
      <c r="D116" s="6">
        <v>214678</v>
      </c>
      <c r="E116" s="47">
        <v>43801</v>
      </c>
      <c r="F116" t="s">
        <v>197</v>
      </c>
      <c r="G116" s="113">
        <v>929316</v>
      </c>
      <c r="H116" s="62">
        <v>117</v>
      </c>
      <c r="I116" s="12">
        <v>43743</v>
      </c>
      <c r="J116" s="12"/>
      <c r="K116" s="67">
        <v>44109</v>
      </c>
      <c r="L116" s="51">
        <v>196650</v>
      </c>
      <c r="M116" s="51">
        <f>-196650+196650</f>
        <v>0</v>
      </c>
      <c r="N116" s="52" t="s">
        <v>29</v>
      </c>
    </row>
    <row r="117" spans="1:14" ht="12.75" customHeight="1">
      <c r="A117" t="s">
        <v>19</v>
      </c>
      <c r="B117" s="6">
        <v>12234</v>
      </c>
      <c r="C117" s="2" t="s">
        <v>190</v>
      </c>
      <c r="D117" s="6">
        <v>216388</v>
      </c>
      <c r="E117" s="47">
        <v>43938</v>
      </c>
      <c r="F117" t="s">
        <v>198</v>
      </c>
      <c r="G117" s="113">
        <v>930371</v>
      </c>
      <c r="H117" s="62">
        <v>122</v>
      </c>
      <c r="I117" s="12">
        <v>43906</v>
      </c>
      <c r="J117" s="12"/>
      <c r="K117" s="67">
        <v>47879</v>
      </c>
      <c r="L117" s="51">
        <v>600000</v>
      </c>
      <c r="M117" s="51">
        <v>-600000</v>
      </c>
      <c r="N117" s="52" t="s">
        <v>199</v>
      </c>
    </row>
    <row r="118" spans="1:14" ht="12.75" customHeight="1">
      <c r="A118" t="s">
        <v>19</v>
      </c>
      <c r="B118" s="6">
        <v>12234</v>
      </c>
      <c r="C118" s="2" t="s">
        <v>190</v>
      </c>
      <c r="D118" s="6">
        <v>220319</v>
      </c>
      <c r="E118" s="53">
        <v>44166</v>
      </c>
      <c r="F118" t="s">
        <v>183</v>
      </c>
      <c r="G118" s="113">
        <v>930900</v>
      </c>
      <c r="H118" s="71" t="s">
        <v>200</v>
      </c>
      <c r="I118" s="72">
        <v>44096</v>
      </c>
      <c r="J118" s="72"/>
      <c r="K118" s="12">
        <v>47817</v>
      </c>
      <c r="L118" s="51">
        <v>200000</v>
      </c>
      <c r="M118" s="51">
        <f>-200000+200000</f>
        <v>0</v>
      </c>
      <c r="N118" s="52" t="s">
        <v>102</v>
      </c>
    </row>
    <row r="119" spans="1:14" ht="12.75" customHeight="1">
      <c r="A119" t="s">
        <v>19</v>
      </c>
      <c r="B119" s="61">
        <v>12234</v>
      </c>
      <c r="C119" s="2" t="s">
        <v>190</v>
      </c>
      <c r="D119" s="6">
        <v>221832</v>
      </c>
      <c r="E119" s="47"/>
      <c r="F119" s="1" t="s">
        <v>201</v>
      </c>
      <c r="G119" s="113">
        <v>935273</v>
      </c>
      <c r="H119" s="61">
        <v>163</v>
      </c>
      <c r="I119" s="12">
        <v>44406</v>
      </c>
      <c r="J119" s="12"/>
      <c r="K119" s="12">
        <v>44770</v>
      </c>
      <c r="L119" s="51">
        <v>214880</v>
      </c>
      <c r="M119" s="51">
        <f>-214880+107440+107440</f>
        <v>0</v>
      </c>
      <c r="N119" s="52" t="s">
        <v>199</v>
      </c>
    </row>
    <row r="120" spans="1:14">
      <c r="A120" t="s">
        <v>19</v>
      </c>
      <c r="B120" s="61">
        <v>12234</v>
      </c>
      <c r="C120" s="2" t="s">
        <v>190</v>
      </c>
      <c r="D120" s="6">
        <v>221620</v>
      </c>
      <c r="E120" s="47">
        <v>44419</v>
      </c>
      <c r="F120" s="1" t="s">
        <v>202</v>
      </c>
      <c r="G120" s="113">
        <v>934614</v>
      </c>
      <c r="H120" s="61">
        <v>1059</v>
      </c>
      <c r="I120" s="12">
        <v>44267</v>
      </c>
      <c r="J120" s="12"/>
      <c r="K120" s="12">
        <v>44632</v>
      </c>
      <c r="L120" s="51">
        <v>295400</v>
      </c>
      <c r="M120" s="51">
        <f>-295400+295400</f>
        <v>0</v>
      </c>
      <c r="N120" s="52" t="s">
        <v>29</v>
      </c>
    </row>
    <row r="121" spans="1:14">
      <c r="A121" t="s">
        <v>19</v>
      </c>
      <c r="B121" s="61">
        <v>12234</v>
      </c>
      <c r="C121" s="2" t="s">
        <v>190</v>
      </c>
      <c r="D121" s="6">
        <v>222001</v>
      </c>
      <c r="E121" s="47">
        <v>44424</v>
      </c>
      <c r="F121" s="1" t="s">
        <v>203</v>
      </c>
      <c r="G121" s="113">
        <v>91342</v>
      </c>
      <c r="H121" s="61">
        <v>138</v>
      </c>
      <c r="I121" s="12">
        <v>44075</v>
      </c>
      <c r="J121" s="12"/>
      <c r="K121" s="12">
        <v>44439</v>
      </c>
      <c r="L121" s="51">
        <v>6000</v>
      </c>
      <c r="M121" s="51">
        <f>-6000+6000</f>
        <v>0</v>
      </c>
      <c r="N121" s="52" t="s">
        <v>29</v>
      </c>
    </row>
    <row r="122" spans="1:14">
      <c r="A122" t="s">
        <v>19</v>
      </c>
      <c r="B122" s="61">
        <v>12234</v>
      </c>
      <c r="C122" s="2" t="s">
        <v>190</v>
      </c>
      <c r="D122" s="6">
        <v>221794</v>
      </c>
      <c r="E122" s="47">
        <v>44531</v>
      </c>
      <c r="F122" s="1" t="s">
        <v>204</v>
      </c>
      <c r="G122" s="113">
        <v>934916</v>
      </c>
      <c r="H122" s="61">
        <v>1050</v>
      </c>
      <c r="I122" s="12">
        <v>44437</v>
      </c>
      <c r="J122" s="12"/>
      <c r="K122" s="12">
        <v>44801</v>
      </c>
      <c r="L122" s="51">
        <v>2343640</v>
      </c>
      <c r="M122" s="51">
        <v>-2343640</v>
      </c>
      <c r="N122" s="52" t="s">
        <v>29</v>
      </c>
    </row>
    <row r="123" spans="1:14" ht="12.6" customHeight="1">
      <c r="A123" t="s">
        <v>19</v>
      </c>
      <c r="B123" s="61">
        <v>12234</v>
      </c>
      <c r="C123" s="2" t="s">
        <v>190</v>
      </c>
      <c r="D123" s="6">
        <v>222666</v>
      </c>
      <c r="E123" s="47">
        <v>44531</v>
      </c>
      <c r="F123" s="1" t="s">
        <v>205</v>
      </c>
      <c r="G123" s="113">
        <v>936482</v>
      </c>
      <c r="H123" s="61">
        <v>1067</v>
      </c>
      <c r="I123" s="12">
        <v>44671</v>
      </c>
      <c r="J123" s="12"/>
      <c r="K123" s="12">
        <v>48334</v>
      </c>
      <c r="L123" s="51">
        <v>3971750</v>
      </c>
      <c r="M123" s="51">
        <f>-3971750+1985875</f>
        <v>-1985875</v>
      </c>
      <c r="N123" s="52" t="s">
        <v>111</v>
      </c>
    </row>
    <row r="124" spans="1:14">
      <c r="A124" t="s">
        <v>19</v>
      </c>
      <c r="B124" s="61">
        <v>12234</v>
      </c>
      <c r="C124" s="2" t="s">
        <v>190</v>
      </c>
      <c r="D124" s="6">
        <v>221125</v>
      </c>
      <c r="E124" s="47">
        <v>44329</v>
      </c>
      <c r="F124" s="1" t="s">
        <v>206</v>
      </c>
      <c r="G124" s="113">
        <v>90496</v>
      </c>
      <c r="H124" s="61">
        <v>1080</v>
      </c>
      <c r="I124" s="12">
        <v>44136</v>
      </c>
      <c r="J124" s="12"/>
      <c r="K124" s="12">
        <v>44500</v>
      </c>
      <c r="L124" s="51">
        <v>204700</v>
      </c>
      <c r="M124" s="51">
        <f>204700-204700</f>
        <v>0</v>
      </c>
      <c r="N124" s="52" t="s">
        <v>29</v>
      </c>
    </row>
    <row r="125" spans="1:14">
      <c r="A125" t="s">
        <v>19</v>
      </c>
      <c r="B125" s="61">
        <v>12234</v>
      </c>
      <c r="C125" s="2" t="s">
        <v>190</v>
      </c>
      <c r="D125" s="6">
        <v>221793</v>
      </c>
      <c r="E125" s="47">
        <v>44651</v>
      </c>
      <c r="F125" s="1" t="s">
        <v>207</v>
      </c>
      <c r="G125" s="113">
        <v>935151</v>
      </c>
      <c r="H125" s="61">
        <v>145</v>
      </c>
      <c r="I125" s="12">
        <v>44528</v>
      </c>
      <c r="J125" s="12"/>
      <c r="K125" s="12">
        <v>45046</v>
      </c>
      <c r="L125" s="51">
        <v>512478.75</v>
      </c>
      <c r="M125" s="51">
        <v>-512478.75</v>
      </c>
      <c r="N125" s="52" t="s">
        <v>100</v>
      </c>
    </row>
    <row r="126" spans="1:14">
      <c r="A126" t="s">
        <v>19</v>
      </c>
      <c r="B126" s="61">
        <v>12234</v>
      </c>
      <c r="C126" s="2" t="s">
        <v>190</v>
      </c>
      <c r="D126" s="6">
        <v>222615</v>
      </c>
      <c r="E126" s="47">
        <v>44651</v>
      </c>
      <c r="F126" s="1" t="s">
        <v>208</v>
      </c>
      <c r="G126" s="113">
        <v>935976</v>
      </c>
      <c r="H126" s="61">
        <v>157</v>
      </c>
      <c r="I126" s="12">
        <v>44518</v>
      </c>
      <c r="J126" s="12"/>
      <c r="K126" s="12">
        <v>48244</v>
      </c>
      <c r="L126" s="51">
        <v>248433</v>
      </c>
      <c r="M126" s="51">
        <v>-248433</v>
      </c>
      <c r="N126" s="52" t="s">
        <v>209</v>
      </c>
    </row>
    <row r="127" spans="1:14">
      <c r="A127" t="s">
        <v>19</v>
      </c>
      <c r="B127" s="61">
        <v>12234</v>
      </c>
      <c r="C127" s="2" t="s">
        <v>190</v>
      </c>
      <c r="D127" s="6">
        <v>223631</v>
      </c>
      <c r="E127" s="47">
        <v>44652</v>
      </c>
      <c r="F127" s="1" t="s">
        <v>210</v>
      </c>
      <c r="G127" s="113">
        <v>937981</v>
      </c>
      <c r="H127" s="61">
        <v>159</v>
      </c>
      <c r="I127" s="12">
        <v>44722</v>
      </c>
      <c r="J127" s="12"/>
      <c r="K127" s="12">
        <v>47542</v>
      </c>
      <c r="L127" s="51">
        <v>265000</v>
      </c>
      <c r="M127" s="51">
        <v>-132500</v>
      </c>
      <c r="N127" s="52" t="s">
        <v>209</v>
      </c>
    </row>
    <row r="128" spans="1:14" ht="26.25">
      <c r="A128" t="s">
        <v>19</v>
      </c>
      <c r="B128" s="61">
        <v>12235</v>
      </c>
      <c r="C128" s="2" t="s">
        <v>211</v>
      </c>
      <c r="D128" s="6">
        <v>181591</v>
      </c>
      <c r="E128" s="47">
        <v>42702</v>
      </c>
      <c r="F128" s="1" t="s">
        <v>212</v>
      </c>
      <c r="G128" s="113">
        <v>915971</v>
      </c>
      <c r="H128" s="61">
        <v>2120</v>
      </c>
      <c r="I128" s="12">
        <v>42675</v>
      </c>
      <c r="J128" s="12"/>
      <c r="K128" s="12">
        <v>43404</v>
      </c>
      <c r="L128" s="51">
        <v>54800</v>
      </c>
      <c r="M128" s="51">
        <f>-54800+54800</f>
        <v>0</v>
      </c>
      <c r="N128" s="59" t="s">
        <v>213</v>
      </c>
    </row>
    <row r="129" spans="1:14">
      <c r="A129" t="s">
        <v>19</v>
      </c>
      <c r="B129" s="61">
        <v>12235</v>
      </c>
      <c r="C129" s="2" t="s">
        <v>211</v>
      </c>
      <c r="D129" s="6">
        <v>194931</v>
      </c>
      <c r="E129" s="47">
        <v>43343</v>
      </c>
      <c r="F129" s="1" t="s">
        <v>214</v>
      </c>
      <c r="G129" s="113">
        <v>923995</v>
      </c>
      <c r="H129" s="61" t="s">
        <v>215</v>
      </c>
      <c r="I129" s="12">
        <v>43315</v>
      </c>
      <c r="J129" s="12"/>
      <c r="K129" s="12">
        <v>43863</v>
      </c>
      <c r="L129" s="51">
        <v>70780</v>
      </c>
      <c r="M129" s="51">
        <f>-70780+70780</f>
        <v>0</v>
      </c>
      <c r="N129" s="59" t="s">
        <v>47</v>
      </c>
    </row>
    <row r="130" spans="1:14">
      <c r="A130" t="s">
        <v>19</v>
      </c>
      <c r="B130" s="61">
        <v>12235</v>
      </c>
      <c r="C130" s="2" t="s">
        <v>211</v>
      </c>
      <c r="D130" s="6">
        <v>211895</v>
      </c>
      <c r="E130" s="47">
        <v>43672</v>
      </c>
      <c r="F130" s="1" t="s">
        <v>216</v>
      </c>
      <c r="G130" s="113">
        <v>34729</v>
      </c>
      <c r="H130" s="61">
        <v>1148</v>
      </c>
      <c r="I130" s="12">
        <v>43538</v>
      </c>
      <c r="J130" s="12"/>
      <c r="K130" s="12">
        <v>44634</v>
      </c>
      <c r="L130" s="51">
        <v>25000</v>
      </c>
      <c r="M130" s="51">
        <v>-25000</v>
      </c>
      <c r="N130" s="73" t="s">
        <v>217</v>
      </c>
    </row>
    <row r="131" spans="1:14">
      <c r="A131" t="s">
        <v>19</v>
      </c>
      <c r="B131" s="61">
        <v>12235</v>
      </c>
      <c r="C131" s="2" t="s">
        <v>211</v>
      </c>
      <c r="D131" s="6">
        <v>212841</v>
      </c>
      <c r="E131" s="47">
        <v>43746</v>
      </c>
      <c r="F131" s="1" t="s">
        <v>218</v>
      </c>
      <c r="G131" s="113">
        <v>22510</v>
      </c>
      <c r="H131" s="61">
        <v>2144</v>
      </c>
      <c r="I131" s="12">
        <v>43497</v>
      </c>
      <c r="J131" s="12"/>
      <c r="K131" s="12">
        <v>43862</v>
      </c>
      <c r="L131" s="51">
        <v>100000</v>
      </c>
      <c r="M131" s="51">
        <f>-100000+90397.68</f>
        <v>-9602.320000000007</v>
      </c>
      <c r="N131" s="73" t="s">
        <v>29</v>
      </c>
    </row>
    <row r="132" spans="1:14">
      <c r="A132" t="s">
        <v>19</v>
      </c>
      <c r="B132" s="61">
        <v>12235</v>
      </c>
      <c r="C132" s="2" t="s">
        <v>211</v>
      </c>
      <c r="D132" s="6">
        <v>214031</v>
      </c>
      <c r="E132" s="47">
        <v>43805</v>
      </c>
      <c r="F132" s="1" t="s">
        <v>219</v>
      </c>
      <c r="G132" s="113">
        <v>23608</v>
      </c>
      <c r="H132" s="61" t="s">
        <v>220</v>
      </c>
      <c r="I132" s="12">
        <v>43922</v>
      </c>
      <c r="J132" s="12"/>
      <c r="K132" s="12">
        <v>44957</v>
      </c>
      <c r="L132" s="51">
        <v>100000</v>
      </c>
      <c r="M132" s="51">
        <f>-100000+70000</f>
        <v>-30000</v>
      </c>
      <c r="N132" s="73" t="s">
        <v>111</v>
      </c>
    </row>
    <row r="133" spans="1:14">
      <c r="A133" t="s">
        <v>19</v>
      </c>
      <c r="B133" s="61">
        <v>12235</v>
      </c>
      <c r="C133" s="2" t="s">
        <v>211</v>
      </c>
      <c r="D133" s="6">
        <v>214710</v>
      </c>
      <c r="E133" s="47">
        <v>43832</v>
      </c>
      <c r="F133" s="1" t="s">
        <v>221</v>
      </c>
      <c r="G133" s="113">
        <v>39224</v>
      </c>
      <c r="H133" s="61">
        <v>2161</v>
      </c>
      <c r="I133" s="12">
        <v>43770</v>
      </c>
      <c r="J133" s="12"/>
      <c r="K133" s="12">
        <v>47514</v>
      </c>
      <c r="L133" s="51">
        <v>360050</v>
      </c>
      <c r="M133" s="51">
        <f>180025-360050+180025</f>
        <v>0</v>
      </c>
      <c r="N133" s="73" t="s">
        <v>35</v>
      </c>
    </row>
    <row r="134" spans="1:14">
      <c r="A134" t="s">
        <v>19</v>
      </c>
      <c r="B134" s="61">
        <v>12235</v>
      </c>
      <c r="C134" s="2" t="s">
        <v>211</v>
      </c>
      <c r="D134" s="6">
        <v>215004</v>
      </c>
      <c r="E134" s="47">
        <v>43860</v>
      </c>
      <c r="F134" s="1" t="s">
        <v>222</v>
      </c>
      <c r="G134" s="113">
        <v>929322</v>
      </c>
      <c r="H134" s="61">
        <v>1101</v>
      </c>
      <c r="I134" s="12">
        <v>43791</v>
      </c>
      <c r="J134" s="12"/>
      <c r="K134" s="12">
        <v>44522</v>
      </c>
      <c r="L134" s="51">
        <v>224700</v>
      </c>
      <c r="M134" s="51">
        <f>-224700+112350+112350</f>
        <v>0</v>
      </c>
      <c r="N134" s="73" t="s">
        <v>175</v>
      </c>
    </row>
    <row r="135" spans="1:14">
      <c r="A135" t="s">
        <v>19</v>
      </c>
      <c r="B135" s="61">
        <v>12235</v>
      </c>
      <c r="C135" s="2" t="s">
        <v>211</v>
      </c>
      <c r="D135" s="6">
        <v>215076</v>
      </c>
      <c r="E135" s="47">
        <v>43871</v>
      </c>
      <c r="F135" s="1" t="s">
        <v>223</v>
      </c>
      <c r="G135" s="113">
        <v>24778</v>
      </c>
      <c r="H135" s="61">
        <v>1217</v>
      </c>
      <c r="I135" s="12">
        <v>43790</v>
      </c>
      <c r="J135" s="12"/>
      <c r="K135" s="12">
        <v>44156</v>
      </c>
      <c r="L135" s="51">
        <v>62500</v>
      </c>
      <c r="M135" s="51">
        <f>-62500+62500</f>
        <v>0</v>
      </c>
      <c r="N135" s="73" t="s">
        <v>29</v>
      </c>
    </row>
    <row r="136" spans="1:14">
      <c r="A136" t="s">
        <v>19</v>
      </c>
      <c r="B136" s="61">
        <v>12235</v>
      </c>
      <c r="C136" s="2" t="s">
        <v>211</v>
      </c>
      <c r="D136" s="6">
        <v>215005</v>
      </c>
      <c r="E136" s="47">
        <v>43871</v>
      </c>
      <c r="F136" s="1" t="s">
        <v>167</v>
      </c>
      <c r="G136" s="113">
        <v>929924</v>
      </c>
      <c r="H136" s="61">
        <v>1037</v>
      </c>
      <c r="I136" s="12">
        <v>43796</v>
      </c>
      <c r="J136" s="12"/>
      <c r="K136" s="12">
        <v>47452</v>
      </c>
      <c r="L136" s="51">
        <v>404900</v>
      </c>
      <c r="M136" s="51">
        <f>-404090+404090</f>
        <v>0</v>
      </c>
      <c r="N136" s="73" t="s">
        <v>35</v>
      </c>
    </row>
    <row r="137" spans="1:14">
      <c r="A137" t="s">
        <v>19</v>
      </c>
      <c r="B137" s="61">
        <v>12235</v>
      </c>
      <c r="C137" s="2" t="s">
        <v>211</v>
      </c>
      <c r="D137" s="6">
        <v>215371</v>
      </c>
      <c r="E137" s="47">
        <v>43871</v>
      </c>
      <c r="F137" s="1" t="s">
        <v>224</v>
      </c>
      <c r="G137" s="113">
        <v>929745</v>
      </c>
      <c r="H137" s="61" t="s">
        <v>56</v>
      </c>
      <c r="I137" s="12">
        <v>43770</v>
      </c>
      <c r="J137" s="12"/>
      <c r="K137" s="12">
        <v>44136</v>
      </c>
      <c r="L137" s="51">
        <v>25000</v>
      </c>
      <c r="M137" s="51">
        <f>-25000+25000</f>
        <v>0</v>
      </c>
      <c r="N137" s="73" t="s">
        <v>29</v>
      </c>
    </row>
    <row r="138" spans="1:14">
      <c r="A138" t="s">
        <v>19</v>
      </c>
      <c r="B138" s="61">
        <v>12235</v>
      </c>
      <c r="C138" s="2" t="s">
        <v>211</v>
      </c>
      <c r="D138" s="6">
        <v>219128</v>
      </c>
      <c r="E138" s="47">
        <v>44028</v>
      </c>
      <c r="F138" s="1" t="s">
        <v>225</v>
      </c>
      <c r="G138" s="113">
        <v>50412</v>
      </c>
      <c r="H138" s="61">
        <v>2157</v>
      </c>
      <c r="I138" s="12">
        <v>43933</v>
      </c>
      <c r="J138" s="12"/>
      <c r="K138" s="12">
        <v>44298</v>
      </c>
      <c r="L138" s="51">
        <v>74800</v>
      </c>
      <c r="M138" s="51">
        <f>-74800+74800</f>
        <v>0</v>
      </c>
      <c r="N138" s="73" t="s">
        <v>29</v>
      </c>
    </row>
    <row r="139" spans="1:14">
      <c r="A139" t="s">
        <v>19</v>
      </c>
      <c r="B139" s="61">
        <v>12235</v>
      </c>
      <c r="C139" s="2" t="s">
        <v>211</v>
      </c>
      <c r="D139" s="6">
        <v>220178</v>
      </c>
      <c r="E139" s="47">
        <v>44138</v>
      </c>
      <c r="F139" s="1" t="s">
        <v>226</v>
      </c>
      <c r="G139" s="113">
        <v>932985</v>
      </c>
      <c r="H139" s="61">
        <v>2145</v>
      </c>
      <c r="I139" s="12">
        <v>44477</v>
      </c>
      <c r="J139" s="12"/>
      <c r="K139" s="12">
        <v>45206</v>
      </c>
      <c r="L139" s="51">
        <v>750000</v>
      </c>
      <c r="M139" s="51">
        <f>-750000+500000+750000-500000</f>
        <v>0</v>
      </c>
      <c r="N139" s="73" t="s">
        <v>175</v>
      </c>
    </row>
    <row r="140" spans="1:14">
      <c r="A140" t="s">
        <v>19</v>
      </c>
      <c r="B140" s="61">
        <v>12235</v>
      </c>
      <c r="C140" s="2" t="s">
        <v>211</v>
      </c>
      <c r="D140" s="6">
        <v>220421</v>
      </c>
      <c r="E140" s="47">
        <v>44154</v>
      </c>
      <c r="F140" s="1" t="s">
        <v>227</v>
      </c>
      <c r="G140" s="113">
        <v>23536</v>
      </c>
      <c r="H140" s="61">
        <v>2162</v>
      </c>
      <c r="I140" s="12">
        <v>43814</v>
      </c>
      <c r="J140" s="12"/>
      <c r="K140" s="12">
        <v>44180</v>
      </c>
      <c r="L140" s="51">
        <v>90000</v>
      </c>
      <c r="M140" s="51">
        <v>-90000</v>
      </c>
      <c r="N140" s="73" t="s">
        <v>29</v>
      </c>
    </row>
    <row r="141" spans="1:14">
      <c r="A141" t="s">
        <v>19</v>
      </c>
      <c r="B141" s="61">
        <v>12235</v>
      </c>
      <c r="C141" s="2" t="s">
        <v>211</v>
      </c>
      <c r="D141" s="6">
        <v>219754</v>
      </c>
      <c r="E141" s="47">
        <v>44265</v>
      </c>
      <c r="F141" s="1" t="s">
        <v>228</v>
      </c>
      <c r="G141" s="113">
        <v>929412</v>
      </c>
      <c r="H141" s="61"/>
      <c r="I141" s="12"/>
      <c r="J141" s="12"/>
      <c r="K141" s="12" t="s">
        <v>129</v>
      </c>
      <c r="L141" s="51">
        <v>90000</v>
      </c>
      <c r="M141" s="51">
        <f>90000-90000</f>
        <v>0</v>
      </c>
      <c r="N141" s="73" t="s">
        <v>229</v>
      </c>
    </row>
    <row r="142" spans="1:14">
      <c r="A142" t="s">
        <v>19</v>
      </c>
      <c r="B142" s="61">
        <v>12235</v>
      </c>
      <c r="C142" s="2" t="s">
        <v>211</v>
      </c>
      <c r="D142" s="6">
        <v>221132</v>
      </c>
      <c r="E142" s="47">
        <v>44287</v>
      </c>
      <c r="F142" s="1" t="s">
        <v>148</v>
      </c>
      <c r="G142" s="113">
        <v>932681</v>
      </c>
      <c r="H142" s="61"/>
      <c r="I142" s="12"/>
      <c r="J142" s="12"/>
      <c r="K142" s="12" t="s">
        <v>129</v>
      </c>
      <c r="L142" s="51">
        <v>825000</v>
      </c>
      <c r="M142" s="51">
        <f>-825000+825000</f>
        <v>0</v>
      </c>
      <c r="N142" s="73" t="s">
        <v>230</v>
      </c>
    </row>
    <row r="143" spans="1:14">
      <c r="A143" t="s">
        <v>19</v>
      </c>
      <c r="B143" s="61">
        <v>12235</v>
      </c>
      <c r="C143" s="2" t="s">
        <v>211</v>
      </c>
      <c r="D143" s="6">
        <v>220590</v>
      </c>
      <c r="E143" s="47">
        <v>44287</v>
      </c>
      <c r="F143" s="1" t="s">
        <v>231</v>
      </c>
      <c r="G143" s="113">
        <v>932582</v>
      </c>
      <c r="H143" s="61">
        <v>9212</v>
      </c>
      <c r="I143" s="12">
        <v>44136</v>
      </c>
      <c r="J143" s="12"/>
      <c r="K143" s="12" t="s">
        <v>129</v>
      </c>
      <c r="L143" s="51">
        <v>6000</v>
      </c>
      <c r="M143" s="51">
        <v>-6000</v>
      </c>
      <c r="N143" s="73" t="s">
        <v>232</v>
      </c>
    </row>
    <row r="144" spans="1:14">
      <c r="A144" t="s">
        <v>19</v>
      </c>
      <c r="B144" s="61">
        <v>12235</v>
      </c>
      <c r="C144" s="2" t="s">
        <v>211</v>
      </c>
      <c r="D144" s="6">
        <v>221212</v>
      </c>
      <c r="E144" s="47">
        <v>44309</v>
      </c>
      <c r="F144" s="1" t="s">
        <v>233</v>
      </c>
      <c r="G144" s="113">
        <v>934120</v>
      </c>
      <c r="H144" s="61" t="s">
        <v>234</v>
      </c>
      <c r="I144" s="12">
        <v>44432</v>
      </c>
      <c r="J144" s="12"/>
      <c r="K144" s="12">
        <v>45161</v>
      </c>
      <c r="L144" s="51">
        <v>448700</v>
      </c>
      <c r="M144" s="51">
        <v>-448700</v>
      </c>
      <c r="N144" s="73" t="s">
        <v>175</v>
      </c>
    </row>
    <row r="145" spans="1:14" ht="12.6" customHeight="1">
      <c r="A145" t="s">
        <v>19</v>
      </c>
      <c r="B145" s="61">
        <v>12235</v>
      </c>
      <c r="C145" s="2" t="s">
        <v>211</v>
      </c>
      <c r="D145" s="6">
        <v>221221</v>
      </c>
      <c r="E145" s="47">
        <v>44312</v>
      </c>
      <c r="F145" s="1" t="s">
        <v>235</v>
      </c>
      <c r="G145" s="113">
        <v>934939</v>
      </c>
      <c r="H145" s="61">
        <v>1204</v>
      </c>
      <c r="I145" s="12">
        <v>44372</v>
      </c>
      <c r="J145" s="12"/>
      <c r="K145" s="12">
        <v>45101</v>
      </c>
      <c r="L145" s="51">
        <v>187380</v>
      </c>
      <c r="M145" s="51">
        <v>-187380</v>
      </c>
      <c r="N145" s="73" t="s">
        <v>175</v>
      </c>
    </row>
    <row r="146" spans="1:14">
      <c r="A146" t="s">
        <v>19</v>
      </c>
      <c r="B146" s="61">
        <v>12235</v>
      </c>
      <c r="C146" s="2" t="s">
        <v>211</v>
      </c>
      <c r="D146" s="6">
        <v>221912</v>
      </c>
      <c r="E146" s="47">
        <v>44469</v>
      </c>
      <c r="F146" s="1" t="s">
        <v>236</v>
      </c>
      <c r="G146" s="113">
        <v>935847</v>
      </c>
      <c r="H146" s="61" t="s">
        <v>237</v>
      </c>
      <c r="I146" s="12">
        <v>44866</v>
      </c>
      <c r="J146" s="12"/>
      <c r="K146" s="12">
        <v>50344</v>
      </c>
      <c r="L146" s="51">
        <v>4900000</v>
      </c>
      <c r="M146" s="51">
        <f>-17509.35+6412+17509.35+16151.25+20462.5+17509.35-4900000+55069.41+60514.75+69303.75+39367.5+21642.5</f>
        <v>-4593566.99</v>
      </c>
      <c r="N146" s="73" t="s">
        <v>35</v>
      </c>
    </row>
    <row r="147" spans="1:14">
      <c r="A147" t="s">
        <v>19</v>
      </c>
      <c r="B147" s="61">
        <v>12235</v>
      </c>
      <c r="C147" s="2" t="s">
        <v>211</v>
      </c>
      <c r="D147" s="6">
        <v>221921</v>
      </c>
      <c r="E147" s="47">
        <v>44469</v>
      </c>
      <c r="F147" s="1" t="s">
        <v>238</v>
      </c>
      <c r="G147" s="113">
        <v>931702</v>
      </c>
      <c r="H147" s="61">
        <v>1109</v>
      </c>
      <c r="I147" s="12">
        <v>44346</v>
      </c>
      <c r="J147" s="12"/>
      <c r="K147" s="12">
        <v>45075</v>
      </c>
      <c r="L147" s="51">
        <v>170660</v>
      </c>
      <c r="M147" s="51">
        <f>-170660+100000</f>
        <v>-70660</v>
      </c>
      <c r="N147" s="73" t="s">
        <v>175</v>
      </c>
    </row>
    <row r="148" spans="1:14" ht="12" customHeight="1">
      <c r="A148" s="1" t="s">
        <v>19</v>
      </c>
      <c r="B148" s="6">
        <v>12235</v>
      </c>
      <c r="C148" s="2" t="s">
        <v>211</v>
      </c>
      <c r="D148" s="6">
        <v>220591</v>
      </c>
      <c r="E148" s="53">
        <v>44561</v>
      </c>
      <c r="F148" t="s">
        <v>239</v>
      </c>
      <c r="G148" s="113">
        <v>931759</v>
      </c>
      <c r="H148" s="62" t="s">
        <v>160</v>
      </c>
      <c r="I148" s="12">
        <v>44348</v>
      </c>
      <c r="J148" s="12"/>
      <c r="K148" s="12">
        <v>45077</v>
      </c>
      <c r="L148" s="51">
        <v>475000</v>
      </c>
      <c r="M148" s="51">
        <v>-475000</v>
      </c>
      <c r="N148" s="73" t="s">
        <v>175</v>
      </c>
    </row>
    <row r="149" spans="1:14" ht="12" customHeight="1">
      <c r="A149" s="1" t="s">
        <v>19</v>
      </c>
      <c r="B149" s="6">
        <v>12235</v>
      </c>
      <c r="C149" s="2" t="s">
        <v>211</v>
      </c>
      <c r="D149" s="6">
        <v>222607</v>
      </c>
      <c r="E149" s="53">
        <v>44561</v>
      </c>
      <c r="F149" t="s">
        <v>240</v>
      </c>
      <c r="G149" s="113">
        <v>936166</v>
      </c>
      <c r="H149" s="62">
        <v>1223</v>
      </c>
      <c r="I149" s="12">
        <v>44447</v>
      </c>
      <c r="J149" s="12"/>
      <c r="K149" s="12">
        <v>44811</v>
      </c>
      <c r="L149" s="51">
        <v>100000</v>
      </c>
      <c r="M149" s="51">
        <v>-100000</v>
      </c>
      <c r="N149" s="73" t="s">
        <v>29</v>
      </c>
    </row>
    <row r="150" spans="1:14">
      <c r="A150" s="1" t="s">
        <v>19</v>
      </c>
      <c r="B150" s="6">
        <v>12235</v>
      </c>
      <c r="C150" s="2" t="s">
        <v>211</v>
      </c>
      <c r="D150" s="6">
        <v>222610</v>
      </c>
      <c r="E150" s="53">
        <v>44561</v>
      </c>
      <c r="F150" t="s">
        <v>96</v>
      </c>
      <c r="G150" s="113">
        <v>936356</v>
      </c>
      <c r="H150" s="62" t="s">
        <v>241</v>
      </c>
      <c r="I150" s="12">
        <v>44497</v>
      </c>
      <c r="J150" s="12"/>
      <c r="K150" s="12">
        <v>48244</v>
      </c>
      <c r="L150" s="51">
        <v>342240</v>
      </c>
      <c r="M150" s="51">
        <f>-342240+342240</f>
        <v>0</v>
      </c>
      <c r="N150" s="73" t="s">
        <v>35</v>
      </c>
    </row>
    <row r="151" spans="1:14">
      <c r="A151" s="1" t="s">
        <v>19</v>
      </c>
      <c r="B151" s="6">
        <v>12235</v>
      </c>
      <c r="C151" s="2" t="s">
        <v>211</v>
      </c>
      <c r="D151" s="6">
        <v>222673</v>
      </c>
      <c r="E151" s="53">
        <v>44540</v>
      </c>
      <c r="F151" t="s">
        <v>94</v>
      </c>
      <c r="G151" s="113">
        <v>933910</v>
      </c>
      <c r="H151" s="62">
        <v>2105</v>
      </c>
      <c r="I151" s="53">
        <v>44207</v>
      </c>
      <c r="J151" s="53"/>
      <c r="K151" s="12">
        <v>44936</v>
      </c>
      <c r="L151" s="51">
        <v>437400</v>
      </c>
      <c r="M151" s="51">
        <f>437400-437400</f>
        <v>0</v>
      </c>
      <c r="N151" s="73"/>
    </row>
    <row r="152" spans="1:14" ht="12.6" customHeight="1">
      <c r="A152" s="1" t="s">
        <v>19</v>
      </c>
      <c r="B152" s="6">
        <v>12235</v>
      </c>
      <c r="C152" s="2" t="s">
        <v>211</v>
      </c>
      <c r="D152" s="6">
        <v>223086</v>
      </c>
      <c r="E152" s="47">
        <v>44561</v>
      </c>
      <c r="F152" t="s">
        <v>242</v>
      </c>
      <c r="G152" s="113">
        <v>23257</v>
      </c>
      <c r="H152" s="62">
        <v>1039</v>
      </c>
      <c r="I152" s="53">
        <v>44500</v>
      </c>
      <c r="J152" s="53"/>
      <c r="K152" s="12">
        <v>48244</v>
      </c>
      <c r="L152" s="51">
        <v>363400</v>
      </c>
      <c r="M152" s="51">
        <v>-363400</v>
      </c>
      <c r="N152" s="73" t="s">
        <v>35</v>
      </c>
    </row>
    <row r="153" spans="1:14">
      <c r="A153" s="1" t="s">
        <v>19</v>
      </c>
      <c r="B153" s="6">
        <v>12235</v>
      </c>
      <c r="C153" s="2" t="s">
        <v>211</v>
      </c>
      <c r="D153" s="6">
        <v>222924</v>
      </c>
      <c r="E153" s="47">
        <v>44505</v>
      </c>
      <c r="F153" t="s">
        <v>243</v>
      </c>
      <c r="G153" s="113">
        <v>931017</v>
      </c>
      <c r="H153" s="62" t="s">
        <v>244</v>
      </c>
      <c r="I153" s="53">
        <v>44643</v>
      </c>
      <c r="J153" s="53"/>
      <c r="K153" s="12">
        <v>45007</v>
      </c>
      <c r="L153" s="51">
        <v>814755</v>
      </c>
      <c r="M153" s="51">
        <f>-814755+271585+271585</f>
        <v>-271585</v>
      </c>
      <c r="N153" s="73" t="s">
        <v>29</v>
      </c>
    </row>
    <row r="154" spans="1:14">
      <c r="A154" s="1" t="s">
        <v>19</v>
      </c>
      <c r="B154" s="6">
        <v>12235</v>
      </c>
      <c r="C154" s="2" t="s">
        <v>211</v>
      </c>
      <c r="D154" s="6">
        <v>222865</v>
      </c>
      <c r="E154" s="53">
        <v>44505</v>
      </c>
      <c r="F154" t="s">
        <v>245</v>
      </c>
      <c r="G154" s="113">
        <v>930738</v>
      </c>
      <c r="H154" s="62" t="s">
        <v>246</v>
      </c>
      <c r="I154" s="12">
        <v>44608</v>
      </c>
      <c r="J154" s="12"/>
      <c r="K154" s="12">
        <v>45153</v>
      </c>
      <c r="L154" s="51">
        <v>911300</v>
      </c>
      <c r="M154" s="51">
        <f>-911300+303766.66+303766.66</f>
        <v>-303766.68000000011</v>
      </c>
      <c r="N154" s="73" t="s">
        <v>100</v>
      </c>
    </row>
    <row r="155" spans="1:14">
      <c r="A155" s="1" t="s">
        <v>19</v>
      </c>
      <c r="B155" s="6">
        <v>12235</v>
      </c>
      <c r="C155" s="2" t="s">
        <v>211</v>
      </c>
      <c r="D155" s="6">
        <v>223624</v>
      </c>
      <c r="E155" s="53">
        <v>44651</v>
      </c>
      <c r="F155" t="s">
        <v>247</v>
      </c>
      <c r="G155" s="113">
        <v>45786</v>
      </c>
      <c r="H155" s="62">
        <v>1120</v>
      </c>
      <c r="I155" s="12"/>
      <c r="J155" s="12"/>
      <c r="K155" s="12" t="s">
        <v>129</v>
      </c>
      <c r="L155" s="51"/>
      <c r="M155" s="51">
        <v>-2492400</v>
      </c>
      <c r="N155" s="73"/>
    </row>
    <row r="156" spans="1:14">
      <c r="A156" s="1" t="s">
        <v>19</v>
      </c>
      <c r="B156" s="6">
        <v>12235</v>
      </c>
      <c r="C156" s="2" t="s">
        <v>211</v>
      </c>
      <c r="D156" s="6">
        <v>222672</v>
      </c>
      <c r="E156" s="53">
        <v>44651</v>
      </c>
      <c r="F156" t="s">
        <v>208</v>
      </c>
      <c r="G156" s="113">
        <v>936430</v>
      </c>
      <c r="H156" s="62" t="s">
        <v>248</v>
      </c>
      <c r="I156" s="12"/>
      <c r="J156" s="12"/>
      <c r="K156" s="12" t="s">
        <v>129</v>
      </c>
      <c r="L156" s="51"/>
      <c r="M156" s="51">
        <v>-342100</v>
      </c>
      <c r="N156" s="73"/>
    </row>
    <row r="157" spans="1:14">
      <c r="A157" s="1" t="s">
        <v>19</v>
      </c>
      <c r="B157" s="6">
        <v>12235</v>
      </c>
      <c r="C157" s="2" t="s">
        <v>211</v>
      </c>
      <c r="D157" s="6">
        <v>223902</v>
      </c>
      <c r="E157" s="53">
        <v>44681</v>
      </c>
      <c r="F157" t="s">
        <v>249</v>
      </c>
      <c r="G157" s="113">
        <v>938018</v>
      </c>
      <c r="H157" s="62"/>
      <c r="I157" s="12"/>
      <c r="J157" s="12"/>
      <c r="K157" s="12" t="s">
        <v>129</v>
      </c>
      <c r="L157" s="51">
        <v>167140.32</v>
      </c>
      <c r="M157" s="51">
        <v>-167140.32</v>
      </c>
      <c r="N157" s="73"/>
    </row>
    <row r="158" spans="1:14">
      <c r="A158" s="1" t="s">
        <v>120</v>
      </c>
      <c r="B158" s="6">
        <v>12240</v>
      </c>
      <c r="C158" s="2" t="s">
        <v>250</v>
      </c>
      <c r="D158" s="6">
        <v>145429</v>
      </c>
      <c r="E158" s="53" t="s">
        <v>127</v>
      </c>
      <c r="F158" t="s">
        <v>251</v>
      </c>
      <c r="G158" s="113">
        <v>902617</v>
      </c>
      <c r="H158" s="62">
        <v>307</v>
      </c>
      <c r="I158" s="12" t="s">
        <v>129</v>
      </c>
      <c r="J158" s="12"/>
      <c r="K158" s="12" t="s">
        <v>129</v>
      </c>
      <c r="L158" s="51">
        <v>0</v>
      </c>
      <c r="M158" s="51">
        <v>-15835</v>
      </c>
      <c r="N158" s="64" t="s">
        <v>188</v>
      </c>
    </row>
    <row r="159" spans="1:14">
      <c r="A159" s="1" t="s">
        <v>120</v>
      </c>
      <c r="B159" s="6">
        <v>12240</v>
      </c>
      <c r="C159" s="2" t="s">
        <v>250</v>
      </c>
      <c r="D159" s="6">
        <v>136797</v>
      </c>
      <c r="E159" s="53" t="s">
        <v>127</v>
      </c>
      <c r="F159" t="s">
        <v>252</v>
      </c>
      <c r="G159" s="113">
        <v>903520</v>
      </c>
      <c r="H159" s="62">
        <v>424</v>
      </c>
      <c r="I159" s="12" t="s">
        <v>129</v>
      </c>
      <c r="J159" s="12"/>
      <c r="K159" s="12" t="s">
        <v>129</v>
      </c>
      <c r="L159" s="51">
        <v>0</v>
      </c>
      <c r="M159" s="51">
        <v>-10125</v>
      </c>
      <c r="N159" s="64" t="s">
        <v>188</v>
      </c>
    </row>
    <row r="160" spans="1:14">
      <c r="A160" s="1" t="s">
        <v>120</v>
      </c>
      <c r="B160" s="6">
        <v>12240</v>
      </c>
      <c r="C160" s="2" t="s">
        <v>250</v>
      </c>
      <c r="D160" s="6">
        <v>146821</v>
      </c>
      <c r="E160" s="53" t="s">
        <v>127</v>
      </c>
      <c r="F160" t="s">
        <v>253</v>
      </c>
      <c r="G160" s="113">
        <v>909116</v>
      </c>
      <c r="H160" s="62">
        <v>623</v>
      </c>
      <c r="I160" s="12" t="s">
        <v>129</v>
      </c>
      <c r="J160" s="12"/>
      <c r="K160" s="12" t="s">
        <v>129</v>
      </c>
      <c r="L160" s="51">
        <v>0</v>
      </c>
      <c r="M160" s="51">
        <v>-6700</v>
      </c>
      <c r="N160" s="64" t="s">
        <v>188</v>
      </c>
    </row>
    <row r="161" spans="1:14">
      <c r="A161" s="1" t="s">
        <v>120</v>
      </c>
      <c r="B161" s="6">
        <v>12247</v>
      </c>
      <c r="C161" s="2" t="s">
        <v>254</v>
      </c>
      <c r="D161" s="6">
        <v>141210</v>
      </c>
      <c r="E161" s="53" t="s">
        <v>255</v>
      </c>
      <c r="F161" t="s">
        <v>256</v>
      </c>
      <c r="G161" s="113">
        <v>905219</v>
      </c>
      <c r="H161" s="62">
        <v>1180</v>
      </c>
      <c r="I161" s="53">
        <v>41991</v>
      </c>
      <c r="J161" s="53"/>
      <c r="K161" s="12">
        <v>42356</v>
      </c>
      <c r="L161" s="51">
        <v>0</v>
      </c>
      <c r="M161" s="51">
        <v>-238500</v>
      </c>
      <c r="N161" s="64" t="s">
        <v>188</v>
      </c>
    </row>
    <row r="162" spans="1:14">
      <c r="A162" s="1" t="s">
        <v>120</v>
      </c>
      <c r="B162" s="6">
        <v>12247</v>
      </c>
      <c r="C162" s="2" t="s">
        <v>254</v>
      </c>
      <c r="D162" s="6">
        <v>54233</v>
      </c>
      <c r="E162" s="53">
        <v>39141</v>
      </c>
      <c r="F162" t="s">
        <v>156</v>
      </c>
      <c r="G162" s="113">
        <v>241242</v>
      </c>
      <c r="H162" s="62" t="s">
        <v>257</v>
      </c>
      <c r="I162" s="53">
        <v>39114</v>
      </c>
      <c r="J162" s="53"/>
      <c r="K162" s="12">
        <v>43496</v>
      </c>
      <c r="L162" s="51">
        <v>0</v>
      </c>
      <c r="M162" s="51">
        <v>-200000</v>
      </c>
      <c r="N162" s="74" t="s">
        <v>258</v>
      </c>
    </row>
    <row r="163" spans="1:14">
      <c r="A163" s="1" t="s">
        <v>120</v>
      </c>
      <c r="B163" s="6">
        <v>12247</v>
      </c>
      <c r="C163" s="2" t="s">
        <v>254</v>
      </c>
      <c r="D163" s="6">
        <v>130349</v>
      </c>
      <c r="E163" s="53">
        <v>41726</v>
      </c>
      <c r="F163" t="s">
        <v>259</v>
      </c>
      <c r="G163" s="113">
        <v>86167</v>
      </c>
      <c r="H163" s="62">
        <v>132</v>
      </c>
      <c r="I163" s="53">
        <v>40940</v>
      </c>
      <c r="J163" s="53"/>
      <c r="K163" s="12">
        <v>44592</v>
      </c>
      <c r="L163" s="51">
        <v>0</v>
      </c>
      <c r="M163" s="51">
        <v>-30000</v>
      </c>
      <c r="N163" s="74" t="s">
        <v>258</v>
      </c>
    </row>
    <row r="164" spans="1:14" ht="12.75" customHeight="1">
      <c r="A164" s="1" t="s">
        <v>120</v>
      </c>
      <c r="B164" s="6">
        <v>12247</v>
      </c>
      <c r="C164" s="2" t="s">
        <v>254</v>
      </c>
      <c r="D164" s="6">
        <v>142867</v>
      </c>
      <c r="E164" s="53" t="s">
        <v>127</v>
      </c>
      <c r="F164" t="s">
        <v>260</v>
      </c>
      <c r="G164" s="113">
        <v>86869</v>
      </c>
      <c r="H164" s="62">
        <v>603</v>
      </c>
      <c r="I164" s="53"/>
      <c r="J164" s="53"/>
      <c r="K164" s="12" t="s">
        <v>129</v>
      </c>
      <c r="L164" s="51">
        <v>0</v>
      </c>
      <c r="M164" s="51">
        <v>-16936</v>
      </c>
      <c r="N164" s="74" t="s">
        <v>130</v>
      </c>
    </row>
    <row r="165" spans="1:14" ht="12.6" customHeight="1">
      <c r="A165" s="1" t="s">
        <v>120</v>
      </c>
      <c r="B165" s="6">
        <v>12247</v>
      </c>
      <c r="C165" s="2" t="s">
        <v>254</v>
      </c>
      <c r="D165" s="6">
        <v>142862</v>
      </c>
      <c r="E165" s="53" t="s">
        <v>127</v>
      </c>
      <c r="F165" t="s">
        <v>261</v>
      </c>
      <c r="G165" s="75">
        <v>910484</v>
      </c>
      <c r="H165" s="62">
        <v>412</v>
      </c>
      <c r="I165" s="12"/>
      <c r="J165" s="12"/>
      <c r="K165" s="12" t="s">
        <v>129</v>
      </c>
      <c r="L165" s="51">
        <v>0</v>
      </c>
      <c r="M165" s="51">
        <v>-15000</v>
      </c>
      <c r="N165" s="74" t="s">
        <v>130</v>
      </c>
    </row>
    <row r="166" spans="1:14" ht="12.75" customHeight="1">
      <c r="A166" t="s">
        <v>120</v>
      </c>
      <c r="B166" s="6">
        <v>12247</v>
      </c>
      <c r="C166" s="2" t="s">
        <v>254</v>
      </c>
      <c r="D166" s="6">
        <v>141160</v>
      </c>
      <c r="E166" s="53">
        <v>42094</v>
      </c>
      <c r="F166" t="s">
        <v>262</v>
      </c>
      <c r="G166" s="113">
        <v>905986</v>
      </c>
      <c r="H166" s="62">
        <v>9060</v>
      </c>
      <c r="I166" s="12">
        <v>42021</v>
      </c>
      <c r="J166" s="12"/>
      <c r="K166" s="12">
        <v>42385</v>
      </c>
      <c r="L166" s="51">
        <v>0</v>
      </c>
      <c r="M166" s="51">
        <v>-10000</v>
      </c>
      <c r="N166" s="64" t="s">
        <v>188</v>
      </c>
    </row>
    <row r="167" spans="1:14" ht="12.75" customHeight="1">
      <c r="A167" t="s">
        <v>120</v>
      </c>
      <c r="B167" s="6">
        <v>12247</v>
      </c>
      <c r="C167" s="2" t="s">
        <v>254</v>
      </c>
      <c r="D167" s="6">
        <v>136894</v>
      </c>
      <c r="E167" s="53">
        <v>42243</v>
      </c>
      <c r="F167" t="s">
        <v>263</v>
      </c>
      <c r="G167" s="113">
        <v>910977</v>
      </c>
      <c r="H167" s="62">
        <v>9040</v>
      </c>
      <c r="I167" s="12">
        <v>42186</v>
      </c>
      <c r="J167" s="12"/>
      <c r="K167" s="12">
        <v>43281</v>
      </c>
      <c r="L167" s="51">
        <v>0</v>
      </c>
      <c r="M167" s="51">
        <v>-10000</v>
      </c>
      <c r="N167" s="74" t="s">
        <v>258</v>
      </c>
    </row>
    <row r="168" spans="1:14" ht="12.75" customHeight="1">
      <c r="A168" t="s">
        <v>120</v>
      </c>
      <c r="B168" s="6">
        <v>12247</v>
      </c>
      <c r="C168" s="2" t="s">
        <v>254</v>
      </c>
      <c r="D168" s="6">
        <v>102120</v>
      </c>
      <c r="E168" s="53">
        <v>41851</v>
      </c>
      <c r="F168" t="s">
        <v>264</v>
      </c>
      <c r="G168" s="113">
        <v>62427</v>
      </c>
      <c r="H168" s="62">
        <v>9210</v>
      </c>
      <c r="I168" s="12">
        <v>41640</v>
      </c>
      <c r="J168" s="12"/>
      <c r="K168" s="12">
        <v>42369</v>
      </c>
      <c r="L168" s="51">
        <v>0</v>
      </c>
      <c r="M168" s="51">
        <v>-4092.16</v>
      </c>
      <c r="N168" s="64" t="s">
        <v>188</v>
      </c>
    </row>
    <row r="169" spans="1:14" ht="12.75" customHeight="1">
      <c r="A169" t="s">
        <v>120</v>
      </c>
      <c r="B169" s="6">
        <v>12248</v>
      </c>
      <c r="C169" s="2" t="s">
        <v>265</v>
      </c>
      <c r="D169" s="6">
        <v>128732</v>
      </c>
      <c r="E169" s="53">
        <v>42155</v>
      </c>
      <c r="F169" t="s">
        <v>266</v>
      </c>
      <c r="G169" s="113">
        <v>46279</v>
      </c>
      <c r="H169" s="62">
        <v>2020</v>
      </c>
      <c r="I169" s="12">
        <v>42152</v>
      </c>
      <c r="J169" s="12"/>
      <c r="K169" s="12">
        <v>43830</v>
      </c>
      <c r="L169" s="51">
        <v>400000</v>
      </c>
      <c r="M169" s="51">
        <f>-400000+400000</f>
        <v>0</v>
      </c>
      <c r="N169" s="52" t="s">
        <v>267</v>
      </c>
    </row>
    <row r="170" spans="1:14" ht="12.75" customHeight="1">
      <c r="A170" t="s">
        <v>120</v>
      </c>
      <c r="B170" s="6">
        <v>12248</v>
      </c>
      <c r="C170" s="2" t="s">
        <v>265</v>
      </c>
      <c r="D170" s="6">
        <v>142870</v>
      </c>
      <c r="E170" s="53" t="s">
        <v>268</v>
      </c>
      <c r="F170" t="s">
        <v>269</v>
      </c>
      <c r="G170" s="113">
        <v>45964</v>
      </c>
      <c r="H170" s="62">
        <v>70</v>
      </c>
      <c r="I170" s="12">
        <v>42323</v>
      </c>
      <c r="J170" s="12"/>
      <c r="K170" s="12">
        <v>43496</v>
      </c>
      <c r="L170" s="51">
        <v>180000</v>
      </c>
      <c r="M170" s="51">
        <f>-180000+180000</f>
        <v>0</v>
      </c>
      <c r="N170" s="52" t="s">
        <v>35</v>
      </c>
    </row>
    <row r="171" spans="1:14" ht="12.75" customHeight="1">
      <c r="A171" t="s">
        <v>120</v>
      </c>
      <c r="B171" s="6">
        <v>12248</v>
      </c>
      <c r="C171" s="2" t="s">
        <v>265</v>
      </c>
      <c r="D171" s="6">
        <v>92570</v>
      </c>
      <c r="E171" s="53"/>
      <c r="F171" t="s">
        <v>242</v>
      </c>
      <c r="G171" s="113">
        <v>46009</v>
      </c>
      <c r="H171" s="62">
        <v>4020</v>
      </c>
      <c r="I171" s="12">
        <v>38671</v>
      </c>
      <c r="J171" s="12"/>
      <c r="K171" s="12">
        <v>44227</v>
      </c>
      <c r="L171" s="51">
        <v>575000</v>
      </c>
      <c r="M171" s="51">
        <f>-575000+460000</f>
        <v>-115000</v>
      </c>
      <c r="N171" s="52" t="s">
        <v>270</v>
      </c>
    </row>
    <row r="172" spans="1:14" customFormat="1">
      <c r="A172" t="s">
        <v>120</v>
      </c>
      <c r="B172" s="6">
        <v>12248</v>
      </c>
      <c r="C172" s="2" t="s">
        <v>265</v>
      </c>
      <c r="D172" s="6">
        <v>148401</v>
      </c>
      <c r="E172" s="47">
        <v>42460</v>
      </c>
      <c r="F172" t="s">
        <v>156</v>
      </c>
      <c r="G172" s="113">
        <v>46972</v>
      </c>
      <c r="H172" s="54">
        <v>2004</v>
      </c>
      <c r="I172" s="50">
        <v>42425</v>
      </c>
      <c r="J172" s="50"/>
      <c r="K172" s="50">
        <v>46053</v>
      </c>
      <c r="L172" s="51">
        <v>100000</v>
      </c>
      <c r="M172" s="51">
        <f>-100000+85000</f>
        <v>-15000</v>
      </c>
      <c r="N172" s="52" t="s">
        <v>35</v>
      </c>
    </row>
    <row r="173" spans="1:14" customFormat="1">
      <c r="A173" t="s">
        <v>19</v>
      </c>
      <c r="B173" s="6">
        <v>12253</v>
      </c>
      <c r="C173" s="2" t="s">
        <v>271</v>
      </c>
      <c r="D173" s="6">
        <v>212842</v>
      </c>
      <c r="E173" s="47">
        <v>43746</v>
      </c>
      <c r="F173" t="s">
        <v>272</v>
      </c>
      <c r="G173" s="113">
        <v>64474</v>
      </c>
      <c r="H173" s="54">
        <v>9005</v>
      </c>
      <c r="I173" s="50">
        <v>43556</v>
      </c>
      <c r="J173" s="50"/>
      <c r="K173" s="50">
        <v>44742</v>
      </c>
      <c r="L173" s="51">
        <v>5000</v>
      </c>
      <c r="M173" s="51">
        <v>-5000</v>
      </c>
      <c r="N173" s="52" t="s">
        <v>111</v>
      </c>
    </row>
    <row r="174" spans="1:14" customFormat="1" ht="13.5" customHeight="1">
      <c r="A174" t="s">
        <v>19</v>
      </c>
      <c r="B174" s="6">
        <v>12253</v>
      </c>
      <c r="C174" s="2" t="s">
        <v>271</v>
      </c>
      <c r="D174" s="6">
        <v>221216</v>
      </c>
      <c r="E174" s="47">
        <v>44313</v>
      </c>
      <c r="F174" s="1" t="s">
        <v>273</v>
      </c>
      <c r="G174" s="113">
        <v>934805</v>
      </c>
      <c r="H174" s="54">
        <v>206</v>
      </c>
      <c r="I174" s="50">
        <v>44423</v>
      </c>
      <c r="J174" s="50"/>
      <c r="K174" s="50">
        <v>45152</v>
      </c>
      <c r="L174" s="51">
        <v>995900</v>
      </c>
      <c r="M174" s="51">
        <v>-995900</v>
      </c>
      <c r="N174" s="52" t="s">
        <v>274</v>
      </c>
    </row>
    <row r="175" spans="1:14" customFormat="1" ht="26.25">
      <c r="A175" t="s">
        <v>19</v>
      </c>
      <c r="B175" s="6">
        <v>12254</v>
      </c>
      <c r="C175" s="2" t="s">
        <v>275</v>
      </c>
      <c r="D175" s="6">
        <v>222656</v>
      </c>
      <c r="E175" s="47">
        <v>44500</v>
      </c>
      <c r="F175" s="1" t="s">
        <v>256</v>
      </c>
      <c r="G175" s="113">
        <v>929536</v>
      </c>
      <c r="H175" s="54">
        <v>1013</v>
      </c>
      <c r="I175" s="50">
        <v>43770</v>
      </c>
      <c r="J175" s="50"/>
      <c r="K175" s="50">
        <v>44561</v>
      </c>
      <c r="L175" s="51">
        <v>270000</v>
      </c>
      <c r="M175" s="51">
        <v>-270000</v>
      </c>
      <c r="N175" s="52" t="s">
        <v>276</v>
      </c>
    </row>
    <row r="176" spans="1:14" customFormat="1">
      <c r="A176" t="s">
        <v>19</v>
      </c>
      <c r="B176" s="6">
        <v>12255</v>
      </c>
      <c r="C176" s="2" t="s">
        <v>277</v>
      </c>
      <c r="D176" s="6">
        <v>192557</v>
      </c>
      <c r="E176" s="47">
        <v>43236</v>
      </c>
      <c r="F176" s="1" t="s">
        <v>278</v>
      </c>
      <c r="G176" s="113">
        <v>923645</v>
      </c>
      <c r="H176" s="54">
        <v>1010</v>
      </c>
      <c r="I176" s="50">
        <v>43282</v>
      </c>
      <c r="J176" s="50"/>
      <c r="K176" s="50">
        <v>43646</v>
      </c>
      <c r="L176" s="51">
        <v>16666.66</v>
      </c>
      <c r="M176" s="51">
        <v>-16666.66</v>
      </c>
      <c r="N176" s="52" t="s">
        <v>29</v>
      </c>
    </row>
    <row r="177" spans="1:14" customFormat="1">
      <c r="A177" s="6" t="s">
        <v>19</v>
      </c>
      <c r="B177" s="6">
        <v>12255</v>
      </c>
      <c r="C177" s="2" t="s">
        <v>277</v>
      </c>
      <c r="D177" s="6">
        <v>196871</v>
      </c>
      <c r="E177" s="47">
        <v>43461</v>
      </c>
      <c r="F177" s="1" t="s">
        <v>21</v>
      </c>
      <c r="G177" s="113">
        <v>926541</v>
      </c>
      <c r="H177" s="54">
        <v>2104</v>
      </c>
      <c r="I177" s="50">
        <v>43435</v>
      </c>
      <c r="J177" s="50"/>
      <c r="K177" s="7" t="s">
        <v>129</v>
      </c>
      <c r="L177" s="51">
        <v>50000</v>
      </c>
      <c r="M177" s="51">
        <v>-50000</v>
      </c>
      <c r="N177" s="52" t="s">
        <v>279</v>
      </c>
    </row>
    <row r="178" spans="1:14" customFormat="1">
      <c r="A178" t="s">
        <v>19</v>
      </c>
      <c r="B178" s="6">
        <v>12255</v>
      </c>
      <c r="C178" s="2" t="s">
        <v>277</v>
      </c>
      <c r="D178" s="6">
        <v>211698</v>
      </c>
      <c r="E178" s="47">
        <v>43657</v>
      </c>
      <c r="F178" s="1" t="s">
        <v>27</v>
      </c>
      <c r="G178" s="113">
        <v>928153</v>
      </c>
      <c r="H178" s="54">
        <v>2154</v>
      </c>
      <c r="I178" s="50">
        <v>43605</v>
      </c>
      <c r="J178" s="50"/>
      <c r="K178" s="50">
        <v>43972</v>
      </c>
      <c r="L178" s="51">
        <v>41240</v>
      </c>
      <c r="M178" s="51">
        <v>-41240</v>
      </c>
      <c r="N178" s="52" t="s">
        <v>29</v>
      </c>
    </row>
    <row r="179" spans="1:14" customFormat="1">
      <c r="A179" t="s">
        <v>19</v>
      </c>
      <c r="B179" s="6">
        <v>12255</v>
      </c>
      <c r="C179" s="2" t="s">
        <v>277</v>
      </c>
      <c r="D179" s="6">
        <v>214680</v>
      </c>
      <c r="E179" s="47">
        <v>43801</v>
      </c>
      <c r="F179" s="1" t="s">
        <v>280</v>
      </c>
      <c r="G179" s="113">
        <v>925349</v>
      </c>
      <c r="H179" s="54">
        <v>2354</v>
      </c>
      <c r="I179" s="50">
        <v>43591</v>
      </c>
      <c r="J179" s="50"/>
      <c r="K179" s="50">
        <v>43957</v>
      </c>
      <c r="L179" s="51">
        <v>100000</v>
      </c>
      <c r="M179" s="51">
        <v>-100000</v>
      </c>
      <c r="N179" s="52" t="s">
        <v>29</v>
      </c>
    </row>
    <row r="180" spans="1:14" customFormat="1">
      <c r="A180" t="s">
        <v>19</v>
      </c>
      <c r="B180" s="6">
        <v>12255</v>
      </c>
      <c r="C180" s="2" t="s">
        <v>277</v>
      </c>
      <c r="D180" s="6">
        <v>219750</v>
      </c>
      <c r="E180" s="47">
        <v>44044</v>
      </c>
      <c r="F180" s="1" t="s">
        <v>281</v>
      </c>
      <c r="G180" s="113">
        <v>931536</v>
      </c>
      <c r="H180" s="54">
        <v>1278</v>
      </c>
      <c r="I180" s="50"/>
      <c r="J180" s="50"/>
      <c r="K180" s="7" t="s">
        <v>129</v>
      </c>
      <c r="L180" s="51">
        <v>562500</v>
      </c>
      <c r="M180" s="51">
        <f>-562500+562500</f>
        <v>0</v>
      </c>
      <c r="N180" s="52"/>
    </row>
    <row r="181" spans="1:14" customFormat="1">
      <c r="A181" t="s">
        <v>19</v>
      </c>
      <c r="B181" s="6">
        <v>12255</v>
      </c>
      <c r="C181" s="2" t="s">
        <v>277</v>
      </c>
      <c r="D181" s="6">
        <v>221788</v>
      </c>
      <c r="E181" s="47">
        <v>44274</v>
      </c>
      <c r="F181" s="1" t="s">
        <v>282</v>
      </c>
      <c r="G181" s="113">
        <v>932695</v>
      </c>
      <c r="H181" s="54"/>
      <c r="I181" s="50"/>
      <c r="J181" s="50"/>
      <c r="K181" s="7" t="s">
        <v>129</v>
      </c>
      <c r="L181" s="51">
        <v>125000</v>
      </c>
      <c r="M181" s="51">
        <f>125000-125000</f>
        <v>0</v>
      </c>
      <c r="N181" s="52"/>
    </row>
    <row r="182" spans="1:14" customFormat="1">
      <c r="A182" t="s">
        <v>19</v>
      </c>
      <c r="B182" s="6">
        <v>12255</v>
      </c>
      <c r="C182" s="2" t="s">
        <v>277</v>
      </c>
      <c r="D182" s="6">
        <v>221756</v>
      </c>
      <c r="E182" s="47">
        <v>44377</v>
      </c>
      <c r="F182" s="1" t="s">
        <v>283</v>
      </c>
      <c r="G182" s="113">
        <v>931682</v>
      </c>
      <c r="H182" s="54">
        <v>2464</v>
      </c>
      <c r="I182" s="50">
        <v>44044</v>
      </c>
      <c r="J182" s="50"/>
      <c r="K182" s="50">
        <v>44408</v>
      </c>
      <c r="L182" s="51">
        <v>205000</v>
      </c>
      <c r="M182" s="51">
        <v>-205000</v>
      </c>
      <c r="N182" s="52" t="s">
        <v>29</v>
      </c>
    </row>
    <row r="183" spans="1:14" customFormat="1">
      <c r="A183" t="s">
        <v>19</v>
      </c>
      <c r="B183" s="6">
        <v>12255</v>
      </c>
      <c r="C183" s="2" t="s">
        <v>277</v>
      </c>
      <c r="D183" s="6">
        <v>221773</v>
      </c>
      <c r="E183" s="47">
        <v>44377</v>
      </c>
      <c r="F183" s="1" t="s">
        <v>284</v>
      </c>
      <c r="G183" s="113">
        <v>934192</v>
      </c>
      <c r="H183" s="54" t="s">
        <v>59</v>
      </c>
      <c r="I183" s="50"/>
      <c r="J183" s="50"/>
      <c r="K183" s="7" t="s">
        <v>129</v>
      </c>
      <c r="L183" s="51">
        <v>75000</v>
      </c>
      <c r="M183" s="51">
        <f>-75000+75000</f>
        <v>0</v>
      </c>
      <c r="N183" s="52"/>
    </row>
    <row r="184" spans="1:14" customFormat="1">
      <c r="A184" t="s">
        <v>19</v>
      </c>
      <c r="B184" s="6">
        <v>12255</v>
      </c>
      <c r="C184" s="2" t="s">
        <v>277</v>
      </c>
      <c r="D184" s="6" t="s">
        <v>129</v>
      </c>
      <c r="E184" s="47">
        <v>44329</v>
      </c>
      <c r="F184" s="1" t="s">
        <v>201</v>
      </c>
      <c r="G184" s="113">
        <v>934659</v>
      </c>
      <c r="H184" s="54"/>
      <c r="I184" s="50"/>
      <c r="J184" s="50"/>
      <c r="K184" s="7" t="s">
        <v>129</v>
      </c>
      <c r="L184" s="51">
        <v>263500</v>
      </c>
      <c r="M184" s="51">
        <f>131750-263500+65875+65875</f>
        <v>0</v>
      </c>
      <c r="N184" s="52"/>
    </row>
    <row r="185" spans="1:14">
      <c r="A185" t="s">
        <v>19</v>
      </c>
      <c r="B185" s="6">
        <v>12263</v>
      </c>
      <c r="C185" s="2" t="s">
        <v>285</v>
      </c>
      <c r="D185" s="6">
        <v>198017</v>
      </c>
      <c r="E185" s="47">
        <v>43553</v>
      </c>
      <c r="F185" s="1" t="s">
        <v>286</v>
      </c>
      <c r="G185" s="113">
        <v>926663</v>
      </c>
      <c r="H185" s="62">
        <v>297</v>
      </c>
      <c r="I185" s="53">
        <v>43556</v>
      </c>
      <c r="J185" s="53"/>
      <c r="K185" s="7" t="s">
        <v>129</v>
      </c>
      <c r="L185" s="51">
        <v>150000</v>
      </c>
      <c r="M185" s="51">
        <f>-150000+150000</f>
        <v>0</v>
      </c>
      <c r="N185" s="52" t="s">
        <v>279</v>
      </c>
    </row>
    <row r="186" spans="1:14">
      <c r="A186" t="s">
        <v>19</v>
      </c>
      <c r="B186" s="6">
        <v>12263</v>
      </c>
      <c r="C186" s="2" t="s">
        <v>285</v>
      </c>
      <c r="D186" s="6">
        <v>198019</v>
      </c>
      <c r="E186" s="47">
        <v>43553</v>
      </c>
      <c r="F186" s="1" t="s">
        <v>287</v>
      </c>
      <c r="G186" s="113">
        <v>927064</v>
      </c>
      <c r="H186" s="62">
        <v>135</v>
      </c>
      <c r="I186" s="53">
        <v>43766</v>
      </c>
      <c r="J186" s="53"/>
      <c r="K186" s="7" t="s">
        <v>129</v>
      </c>
      <c r="L186" s="51">
        <v>1271695</v>
      </c>
      <c r="M186" s="51">
        <f>-1271695+635847.5+635847.5</f>
        <v>0</v>
      </c>
      <c r="N186" s="52" t="s">
        <v>279</v>
      </c>
    </row>
    <row r="187" spans="1:14">
      <c r="A187" t="s">
        <v>19</v>
      </c>
      <c r="B187" s="6">
        <v>12263</v>
      </c>
      <c r="C187" s="2" t="s">
        <v>285</v>
      </c>
      <c r="D187" s="6">
        <v>214847</v>
      </c>
      <c r="E187" s="47">
        <v>43847</v>
      </c>
      <c r="F187" s="1" t="s">
        <v>288</v>
      </c>
      <c r="G187" s="113">
        <v>928887</v>
      </c>
      <c r="H187" s="62">
        <v>9029</v>
      </c>
      <c r="I187" s="53">
        <v>43813</v>
      </c>
      <c r="J187" s="53"/>
      <c r="K187" s="12">
        <v>44179</v>
      </c>
      <c r="L187" s="51">
        <v>8500</v>
      </c>
      <c r="M187" s="51">
        <v>-8500</v>
      </c>
      <c r="N187" s="52" t="s">
        <v>29</v>
      </c>
    </row>
    <row r="188" spans="1:14">
      <c r="A188" t="s">
        <v>19</v>
      </c>
      <c r="B188" s="6">
        <v>12263</v>
      </c>
      <c r="C188" s="2" t="s">
        <v>285</v>
      </c>
      <c r="D188" s="6">
        <v>215074</v>
      </c>
      <c r="E188" s="47">
        <v>43871</v>
      </c>
      <c r="F188" s="1" t="s">
        <v>289</v>
      </c>
      <c r="G188" s="113">
        <v>928966</v>
      </c>
      <c r="H188" s="62">
        <v>355</v>
      </c>
      <c r="I188" s="53">
        <v>43740</v>
      </c>
      <c r="J188" s="53"/>
      <c r="K188" s="12">
        <v>44106</v>
      </c>
      <c r="L188" s="51">
        <v>33780</v>
      </c>
      <c r="M188" s="51">
        <v>-33780</v>
      </c>
      <c r="N188" s="52" t="s">
        <v>29</v>
      </c>
    </row>
    <row r="189" spans="1:14">
      <c r="A189" t="s">
        <v>19</v>
      </c>
      <c r="B189" s="6">
        <v>12263</v>
      </c>
      <c r="C189" s="2" t="s">
        <v>285</v>
      </c>
      <c r="D189" s="6">
        <v>220090</v>
      </c>
      <c r="E189" s="47">
        <v>44279</v>
      </c>
      <c r="F189" s="1" t="s">
        <v>290</v>
      </c>
      <c r="G189" s="113">
        <v>925561</v>
      </c>
      <c r="H189" s="62">
        <v>257</v>
      </c>
      <c r="I189" s="53">
        <v>44027</v>
      </c>
      <c r="J189" s="53"/>
      <c r="K189" s="12" t="s">
        <v>129</v>
      </c>
      <c r="L189" s="51">
        <v>65000</v>
      </c>
      <c r="M189" s="51">
        <f>64724.19-65000</f>
        <v>-275.80999999999767</v>
      </c>
      <c r="N189" s="60" t="s">
        <v>291</v>
      </c>
    </row>
    <row r="190" spans="1:14">
      <c r="A190" t="s">
        <v>19</v>
      </c>
      <c r="B190" s="6">
        <v>12263</v>
      </c>
      <c r="C190" s="2" t="s">
        <v>285</v>
      </c>
      <c r="D190" s="6">
        <v>220757</v>
      </c>
      <c r="E190" s="47">
        <v>44377</v>
      </c>
      <c r="F190" s="1" t="s">
        <v>292</v>
      </c>
      <c r="G190" s="113">
        <v>931278</v>
      </c>
      <c r="H190" s="62"/>
      <c r="I190" s="53"/>
      <c r="J190" s="53"/>
      <c r="K190" s="12" t="s">
        <v>129</v>
      </c>
      <c r="L190" s="51"/>
      <c r="M190" s="51">
        <f>-100000+100000</f>
        <v>0</v>
      </c>
      <c r="N190" s="60"/>
    </row>
    <row r="191" spans="1:14">
      <c r="A191" t="s">
        <v>19</v>
      </c>
      <c r="B191" s="6">
        <v>12263</v>
      </c>
      <c r="C191" s="2" t="s">
        <v>285</v>
      </c>
      <c r="D191" s="6">
        <v>221191</v>
      </c>
      <c r="E191" s="47">
        <v>44377</v>
      </c>
      <c r="F191" s="1" t="s">
        <v>293</v>
      </c>
      <c r="G191" s="113">
        <v>934342</v>
      </c>
      <c r="H191" s="62">
        <v>461</v>
      </c>
      <c r="I191" s="53">
        <v>44325</v>
      </c>
      <c r="J191" s="53"/>
      <c r="K191" s="12">
        <v>44873</v>
      </c>
      <c r="L191" s="51">
        <v>194310</v>
      </c>
      <c r="M191" s="51">
        <v>-194310</v>
      </c>
      <c r="N191" s="60" t="s">
        <v>100</v>
      </c>
    </row>
    <row r="192" spans="1:14" ht="39">
      <c r="A192" t="s">
        <v>19</v>
      </c>
      <c r="B192" s="6">
        <v>12266</v>
      </c>
      <c r="C192" s="2" t="s">
        <v>294</v>
      </c>
      <c r="D192" s="6">
        <v>186245</v>
      </c>
      <c r="E192" s="47">
        <v>42927</v>
      </c>
      <c r="F192" s="1" t="s">
        <v>295</v>
      </c>
      <c r="G192" s="113">
        <v>919030</v>
      </c>
      <c r="H192" s="62">
        <v>9127</v>
      </c>
      <c r="I192" s="53">
        <v>42979</v>
      </c>
      <c r="J192" s="53"/>
      <c r="K192" s="12">
        <v>43343</v>
      </c>
      <c r="L192" s="51">
        <v>10000</v>
      </c>
      <c r="M192" s="51">
        <v>-10000</v>
      </c>
      <c r="N192" s="59" t="s">
        <v>296</v>
      </c>
    </row>
    <row r="193" spans="1:14" ht="26.25">
      <c r="A193" t="s">
        <v>19</v>
      </c>
      <c r="B193" s="6">
        <v>12266</v>
      </c>
      <c r="C193" s="2" t="s">
        <v>294</v>
      </c>
      <c r="D193" s="6">
        <v>196860</v>
      </c>
      <c r="E193" s="47">
        <v>43461</v>
      </c>
      <c r="F193" s="1" t="s">
        <v>297</v>
      </c>
      <c r="G193" s="113">
        <v>44438</v>
      </c>
      <c r="H193" s="62" t="s">
        <v>298</v>
      </c>
      <c r="I193" s="53">
        <v>43770</v>
      </c>
      <c r="J193" s="53"/>
      <c r="K193" s="12">
        <v>44165</v>
      </c>
      <c r="L193" s="51">
        <v>150000</v>
      </c>
      <c r="M193" s="51">
        <f>-150000+150000</f>
        <v>0</v>
      </c>
      <c r="N193" s="59" t="s">
        <v>299</v>
      </c>
    </row>
    <row r="194" spans="1:14">
      <c r="A194" t="s">
        <v>19</v>
      </c>
      <c r="B194" s="6">
        <v>12266</v>
      </c>
      <c r="C194" s="2" t="s">
        <v>294</v>
      </c>
      <c r="D194" s="6">
        <v>214915</v>
      </c>
      <c r="E194" s="47">
        <v>43854</v>
      </c>
      <c r="F194" s="1" t="s">
        <v>300</v>
      </c>
      <c r="G194" s="113">
        <v>909918</v>
      </c>
      <c r="H194" s="62" t="s">
        <v>301</v>
      </c>
      <c r="I194" s="53">
        <v>43647</v>
      </c>
      <c r="J194" s="53"/>
      <c r="K194" s="12">
        <v>44013</v>
      </c>
      <c r="L194" s="51">
        <v>30000</v>
      </c>
      <c r="M194" s="51">
        <f>-30000+14200</f>
        <v>-15800</v>
      </c>
      <c r="N194" s="52" t="s">
        <v>29</v>
      </c>
    </row>
    <row r="195" spans="1:14">
      <c r="A195" t="s">
        <v>19</v>
      </c>
      <c r="B195" s="6">
        <v>12266</v>
      </c>
      <c r="C195" s="2" t="s">
        <v>294</v>
      </c>
      <c r="D195" s="6">
        <v>220272</v>
      </c>
      <c r="E195" s="47">
        <v>44196</v>
      </c>
      <c r="F195" s="1" t="s">
        <v>302</v>
      </c>
      <c r="G195" s="113">
        <v>929958</v>
      </c>
      <c r="H195" s="62" t="s">
        <v>303</v>
      </c>
      <c r="I195" s="53">
        <v>43891</v>
      </c>
      <c r="J195" s="53"/>
      <c r="K195" s="12">
        <v>44255</v>
      </c>
      <c r="L195" s="51">
        <v>50000</v>
      </c>
      <c r="M195" s="51">
        <v>-50000</v>
      </c>
      <c r="N195" s="52" t="s">
        <v>29</v>
      </c>
    </row>
    <row r="196" spans="1:14">
      <c r="A196" t="s">
        <v>19</v>
      </c>
      <c r="B196" s="6">
        <v>12266</v>
      </c>
      <c r="C196" s="2" t="s">
        <v>294</v>
      </c>
      <c r="D196" s="6">
        <v>220273</v>
      </c>
      <c r="E196" s="47">
        <v>44196</v>
      </c>
      <c r="F196" s="1" t="s">
        <v>304</v>
      </c>
      <c r="G196" s="113">
        <v>932025</v>
      </c>
      <c r="H196" s="62" t="s">
        <v>305</v>
      </c>
      <c r="I196" s="53"/>
      <c r="J196" s="53"/>
      <c r="K196" s="12" t="s">
        <v>129</v>
      </c>
      <c r="L196" s="51"/>
      <c r="M196" s="51">
        <f>-50000+50000</f>
        <v>0</v>
      </c>
      <c r="N196" s="52"/>
    </row>
    <row r="197" spans="1:14">
      <c r="A197" t="s">
        <v>19</v>
      </c>
      <c r="B197" s="6">
        <v>12266</v>
      </c>
      <c r="C197" s="2" t="s">
        <v>294</v>
      </c>
      <c r="D197" s="6">
        <v>218650</v>
      </c>
      <c r="E197" s="47">
        <v>44255</v>
      </c>
      <c r="F197" s="1" t="s">
        <v>306</v>
      </c>
      <c r="G197" s="113">
        <v>71459</v>
      </c>
      <c r="H197" s="62"/>
      <c r="I197" s="53"/>
      <c r="J197" s="53"/>
      <c r="K197" s="12" t="s">
        <v>129</v>
      </c>
      <c r="L197" s="51">
        <v>241780.5</v>
      </c>
      <c r="M197" s="51">
        <f>-182000+50000-50000+50000-9780.5+141780.5</f>
        <v>0</v>
      </c>
      <c r="N197" s="52"/>
    </row>
    <row r="198" spans="1:14">
      <c r="A198" t="s">
        <v>19</v>
      </c>
      <c r="B198" s="6">
        <v>12266</v>
      </c>
      <c r="C198" s="2" t="s">
        <v>294</v>
      </c>
      <c r="D198" s="6">
        <v>220737</v>
      </c>
      <c r="E198" s="47">
        <v>44286</v>
      </c>
      <c r="F198" s="1" t="s">
        <v>307</v>
      </c>
      <c r="G198" s="113">
        <v>931619</v>
      </c>
      <c r="H198" s="62" t="s">
        <v>308</v>
      </c>
      <c r="I198" s="53">
        <v>44136</v>
      </c>
      <c r="J198" s="53"/>
      <c r="K198" s="12" t="s">
        <v>129</v>
      </c>
      <c r="L198" s="51">
        <v>25000</v>
      </c>
      <c r="M198" s="51">
        <v>-25000</v>
      </c>
      <c r="N198" s="52" t="s">
        <v>309</v>
      </c>
    </row>
    <row r="199" spans="1:14" customFormat="1">
      <c r="A199" t="s">
        <v>19</v>
      </c>
      <c r="B199" s="6">
        <v>12266</v>
      </c>
      <c r="C199" s="2" t="s">
        <v>294</v>
      </c>
      <c r="D199" s="6">
        <v>221410</v>
      </c>
      <c r="E199" s="47">
        <v>44316</v>
      </c>
      <c r="F199" s="1" t="s">
        <v>310</v>
      </c>
      <c r="G199" s="113">
        <v>35777</v>
      </c>
      <c r="I199" s="12"/>
      <c r="J199" s="12"/>
      <c r="K199" s="12" t="s">
        <v>129</v>
      </c>
      <c r="L199" s="51">
        <v>135000</v>
      </c>
      <c r="M199" s="51">
        <f>-135000-7594.24+135000+7594.24</f>
        <v>9.0949470177292824E-12</v>
      </c>
      <c r="N199" s="52"/>
    </row>
    <row r="200" spans="1:14" customFormat="1">
      <c r="A200" t="s">
        <v>19</v>
      </c>
      <c r="B200" s="6">
        <v>12266</v>
      </c>
      <c r="C200" s="2" t="s">
        <v>294</v>
      </c>
      <c r="D200" s="6">
        <v>221878</v>
      </c>
      <c r="E200" s="47">
        <v>44408</v>
      </c>
      <c r="F200" s="1" t="s">
        <v>311</v>
      </c>
      <c r="G200" s="113">
        <v>931861</v>
      </c>
      <c r="H200" s="61" t="s">
        <v>312</v>
      </c>
      <c r="I200" s="12">
        <v>44044</v>
      </c>
      <c r="J200" s="12"/>
      <c r="K200" s="12">
        <v>44408</v>
      </c>
      <c r="L200" s="51">
        <v>200000</v>
      </c>
      <c r="M200" s="51">
        <f>-L200</f>
        <v>-200000</v>
      </c>
      <c r="N200" s="52" t="s">
        <v>29</v>
      </c>
    </row>
    <row r="201" spans="1:14" customFormat="1">
      <c r="A201" t="s">
        <v>19</v>
      </c>
      <c r="B201" s="6">
        <v>12266</v>
      </c>
      <c r="C201" s="2" t="s">
        <v>294</v>
      </c>
      <c r="D201" s="6">
        <v>221907</v>
      </c>
      <c r="E201" s="47">
        <v>44408</v>
      </c>
      <c r="F201" s="1" t="s">
        <v>313</v>
      </c>
      <c r="G201" s="113">
        <v>935708</v>
      </c>
      <c r="H201" s="61" t="s">
        <v>314</v>
      </c>
      <c r="I201" s="12">
        <v>44593</v>
      </c>
      <c r="J201" s="12"/>
      <c r="K201" s="12">
        <v>44957</v>
      </c>
      <c r="L201" s="51">
        <v>50000</v>
      </c>
      <c r="M201" s="51">
        <f>-L201</f>
        <v>-50000</v>
      </c>
      <c r="N201" s="52" t="s">
        <v>29</v>
      </c>
    </row>
    <row r="202" spans="1:14" customFormat="1">
      <c r="A202" t="s">
        <v>19</v>
      </c>
      <c r="B202" s="6">
        <v>12266</v>
      </c>
      <c r="C202" s="2" t="s">
        <v>294</v>
      </c>
      <c r="D202" s="6">
        <v>221627</v>
      </c>
      <c r="E202" s="53">
        <v>44347</v>
      </c>
      <c r="F202" s="1" t="s">
        <v>315</v>
      </c>
      <c r="G202" s="113">
        <v>935005</v>
      </c>
      <c r="H202" s="61" t="s">
        <v>43</v>
      </c>
      <c r="I202" s="12">
        <v>44440</v>
      </c>
      <c r="J202" s="12"/>
      <c r="K202" s="12">
        <v>44804</v>
      </c>
      <c r="L202" s="51">
        <v>20000</v>
      </c>
      <c r="M202" s="51">
        <v>-20000</v>
      </c>
      <c r="N202" s="52" t="s">
        <v>29</v>
      </c>
    </row>
    <row r="203" spans="1:14" customFormat="1">
      <c r="A203" t="s">
        <v>19</v>
      </c>
      <c r="B203" s="6">
        <v>12266</v>
      </c>
      <c r="C203" s="2" t="s">
        <v>294</v>
      </c>
      <c r="D203" s="6">
        <v>221641</v>
      </c>
      <c r="E203" s="53">
        <v>44347</v>
      </c>
      <c r="F203" s="1" t="s">
        <v>316</v>
      </c>
      <c r="G203" s="113">
        <v>935003</v>
      </c>
      <c r="H203" s="61">
        <v>1003</v>
      </c>
      <c r="I203" s="12">
        <v>44621</v>
      </c>
      <c r="J203" s="12"/>
      <c r="K203" s="12">
        <v>44985</v>
      </c>
      <c r="L203" s="51">
        <v>145000</v>
      </c>
      <c r="M203" s="51">
        <v>-145000</v>
      </c>
      <c r="N203" s="52" t="s">
        <v>29</v>
      </c>
    </row>
    <row r="204" spans="1:14" customFormat="1">
      <c r="A204" t="s">
        <v>19</v>
      </c>
      <c r="B204" s="6">
        <v>12266</v>
      </c>
      <c r="C204" s="2" t="s">
        <v>294</v>
      </c>
      <c r="D204" s="6">
        <v>222670</v>
      </c>
      <c r="E204" s="53">
        <v>44500</v>
      </c>
      <c r="F204" s="1" t="s">
        <v>317</v>
      </c>
      <c r="G204" s="113">
        <v>936432</v>
      </c>
      <c r="H204" s="61" t="s">
        <v>318</v>
      </c>
      <c r="I204" s="12">
        <v>44652</v>
      </c>
      <c r="J204" s="12"/>
      <c r="K204" s="12">
        <v>45016</v>
      </c>
      <c r="L204" s="51">
        <v>46000</v>
      </c>
      <c r="M204" s="51">
        <v>-46000</v>
      </c>
      <c r="N204" s="52" t="s">
        <v>29</v>
      </c>
    </row>
    <row r="205" spans="1:14" customFormat="1">
      <c r="A205" t="s">
        <v>19</v>
      </c>
      <c r="B205" s="6">
        <v>12266</v>
      </c>
      <c r="C205" s="2" t="s">
        <v>294</v>
      </c>
      <c r="D205" s="6">
        <v>222687</v>
      </c>
      <c r="E205" s="53">
        <v>44500</v>
      </c>
      <c r="F205" s="1" t="s">
        <v>319</v>
      </c>
      <c r="G205" s="113">
        <v>930567</v>
      </c>
      <c r="H205" s="61" t="s">
        <v>320</v>
      </c>
      <c r="I205" s="12">
        <v>44275</v>
      </c>
      <c r="J205" s="12"/>
      <c r="K205" s="12">
        <v>44639</v>
      </c>
      <c r="L205" s="51">
        <v>100000</v>
      </c>
      <c r="M205" s="51">
        <v>-100000</v>
      </c>
      <c r="N205" s="52" t="s">
        <v>29</v>
      </c>
    </row>
    <row r="206" spans="1:14" customFormat="1">
      <c r="A206" t="s">
        <v>19</v>
      </c>
      <c r="B206" s="6">
        <v>12266</v>
      </c>
      <c r="C206" s="2" t="s">
        <v>294</v>
      </c>
      <c r="D206" s="6">
        <v>223138</v>
      </c>
      <c r="E206" s="53">
        <v>44592</v>
      </c>
      <c r="F206" s="1" t="s">
        <v>321</v>
      </c>
      <c r="G206" s="113">
        <v>934759</v>
      </c>
      <c r="H206" s="61" t="s">
        <v>322</v>
      </c>
      <c r="I206" s="12"/>
      <c r="J206" s="12"/>
      <c r="K206" s="12" t="s">
        <v>129</v>
      </c>
      <c r="L206" s="51">
        <v>40000</v>
      </c>
      <c r="M206" s="51">
        <v>-40000</v>
      </c>
      <c r="N206" s="52"/>
    </row>
    <row r="207" spans="1:14" customFormat="1">
      <c r="A207" t="s">
        <v>19</v>
      </c>
      <c r="B207" s="6">
        <v>12266</v>
      </c>
      <c r="C207" s="2" t="s">
        <v>294</v>
      </c>
      <c r="D207" s="6">
        <v>223141</v>
      </c>
      <c r="E207" s="53">
        <v>44592</v>
      </c>
      <c r="F207" s="1" t="s">
        <v>273</v>
      </c>
      <c r="G207" s="113">
        <v>937586</v>
      </c>
      <c r="H207" s="61" t="s">
        <v>323</v>
      </c>
      <c r="I207" s="12"/>
      <c r="J207" s="12"/>
      <c r="K207" s="12" t="s">
        <v>129</v>
      </c>
      <c r="L207" s="51">
        <v>478940.28</v>
      </c>
      <c r="M207" s="51">
        <v>-478940.28</v>
      </c>
      <c r="N207" s="52"/>
    </row>
    <row r="208" spans="1:14" customFormat="1">
      <c r="A208" t="s">
        <v>19</v>
      </c>
      <c r="B208" s="6">
        <v>12266</v>
      </c>
      <c r="C208" s="2" t="s">
        <v>294</v>
      </c>
      <c r="D208" s="6">
        <v>223552</v>
      </c>
      <c r="E208" s="53">
        <v>44592</v>
      </c>
      <c r="F208" s="1" t="s">
        <v>324</v>
      </c>
      <c r="G208" s="113">
        <v>936188</v>
      </c>
      <c r="H208" s="61" t="s">
        <v>123</v>
      </c>
      <c r="I208" s="12"/>
      <c r="J208" s="12"/>
      <c r="K208" s="12" t="s">
        <v>129</v>
      </c>
      <c r="L208" s="51">
        <v>525000</v>
      </c>
      <c r="M208" s="51">
        <f>-700000+175000</f>
        <v>-525000</v>
      </c>
      <c r="N208" s="52"/>
    </row>
    <row r="209" spans="1:14" customFormat="1" ht="26.25">
      <c r="A209" t="s">
        <v>19</v>
      </c>
      <c r="B209" s="6">
        <v>12267</v>
      </c>
      <c r="C209" s="2" t="s">
        <v>325</v>
      </c>
      <c r="D209" s="6">
        <v>190804</v>
      </c>
      <c r="E209" s="53">
        <v>43182</v>
      </c>
      <c r="F209" s="1" t="s">
        <v>326</v>
      </c>
      <c r="G209" s="113">
        <v>922281</v>
      </c>
      <c r="H209" s="61" t="s">
        <v>327</v>
      </c>
      <c r="I209" s="12">
        <v>43174</v>
      </c>
      <c r="J209" s="12"/>
      <c r="K209" s="12">
        <v>46053</v>
      </c>
      <c r="L209" s="51">
        <v>7000</v>
      </c>
      <c r="M209" s="51">
        <v>-7000</v>
      </c>
      <c r="N209" s="52" t="s">
        <v>328</v>
      </c>
    </row>
    <row r="210" spans="1:14" ht="12.75" customHeight="1">
      <c r="A210" t="s">
        <v>19</v>
      </c>
      <c r="B210" s="6">
        <v>12267</v>
      </c>
      <c r="C210" s="2" t="s">
        <v>325</v>
      </c>
      <c r="D210" s="6">
        <v>197362</v>
      </c>
      <c r="E210" s="53">
        <v>43496</v>
      </c>
      <c r="F210" t="s">
        <v>329</v>
      </c>
      <c r="G210" s="113">
        <v>298257</v>
      </c>
      <c r="H210" s="62" t="s">
        <v>330</v>
      </c>
      <c r="I210" s="53">
        <v>43469</v>
      </c>
      <c r="J210" s="53"/>
      <c r="K210" s="12">
        <v>44199</v>
      </c>
      <c r="L210" s="51">
        <v>92001.65</v>
      </c>
      <c r="M210" s="51">
        <f>-92001.65+92001.65</f>
        <v>0</v>
      </c>
      <c r="N210" s="52" t="s">
        <v>175</v>
      </c>
    </row>
    <row r="211" spans="1:14" ht="12.75" customHeight="1">
      <c r="A211" t="s">
        <v>19</v>
      </c>
      <c r="B211" s="6">
        <v>12267</v>
      </c>
      <c r="C211" s="2" t="s">
        <v>325</v>
      </c>
      <c r="D211" s="6">
        <v>215400</v>
      </c>
      <c r="E211" s="53">
        <v>43872</v>
      </c>
      <c r="F211" t="s">
        <v>167</v>
      </c>
      <c r="G211" s="113">
        <v>929583</v>
      </c>
      <c r="H211" s="62" t="s">
        <v>331</v>
      </c>
      <c r="I211" s="53">
        <v>43795</v>
      </c>
      <c r="J211" s="53"/>
      <c r="K211" s="12">
        <v>47452</v>
      </c>
      <c r="L211" s="51">
        <v>459425</v>
      </c>
      <c r="M211" s="51">
        <f>-459425+459425</f>
        <v>0</v>
      </c>
      <c r="N211" s="52" t="s">
        <v>35</v>
      </c>
    </row>
    <row r="212" spans="1:14" ht="12.75" customHeight="1">
      <c r="A212" t="s">
        <v>19</v>
      </c>
      <c r="B212" s="6">
        <v>12267</v>
      </c>
      <c r="C212" s="2" t="s">
        <v>325</v>
      </c>
      <c r="D212" s="6">
        <v>216400</v>
      </c>
      <c r="E212" s="53">
        <v>43944</v>
      </c>
      <c r="F212" s="1" t="s">
        <v>101</v>
      </c>
      <c r="G212" s="113">
        <v>89425</v>
      </c>
      <c r="H212" s="62" t="s">
        <v>163</v>
      </c>
      <c r="I212" s="53">
        <v>43862</v>
      </c>
      <c r="J212" s="53"/>
      <c r="K212" s="12">
        <v>44227</v>
      </c>
      <c r="L212" s="51">
        <v>100000</v>
      </c>
      <c r="M212" s="51">
        <v>-100000</v>
      </c>
      <c r="N212" s="52" t="s">
        <v>332</v>
      </c>
    </row>
    <row r="213" spans="1:14" ht="12.75" customHeight="1">
      <c r="A213" t="s">
        <v>19</v>
      </c>
      <c r="B213" s="6">
        <v>12267</v>
      </c>
      <c r="C213" s="2" t="s">
        <v>325</v>
      </c>
      <c r="D213" s="6">
        <v>218649</v>
      </c>
      <c r="E213" s="47">
        <v>44014</v>
      </c>
      <c r="F213" t="s">
        <v>210</v>
      </c>
      <c r="G213" s="113">
        <v>931546</v>
      </c>
      <c r="H213" s="62" t="s">
        <v>333</v>
      </c>
      <c r="I213" s="53">
        <v>44044</v>
      </c>
      <c r="J213" s="53"/>
      <c r="K213" s="12" t="s">
        <v>129</v>
      </c>
      <c r="L213" s="51">
        <v>270100</v>
      </c>
      <c r="M213" s="51">
        <f>-270100+135050+135050</f>
        <v>0</v>
      </c>
      <c r="N213" s="52" t="s">
        <v>35</v>
      </c>
    </row>
    <row r="214" spans="1:14" ht="12.75" customHeight="1">
      <c r="A214" t="s">
        <v>19</v>
      </c>
      <c r="B214" s="6">
        <v>12267</v>
      </c>
      <c r="C214" s="2" t="s">
        <v>325</v>
      </c>
      <c r="D214" s="6">
        <v>219737</v>
      </c>
      <c r="E214" s="47">
        <v>44075</v>
      </c>
      <c r="F214" t="s">
        <v>334</v>
      </c>
      <c r="G214" s="113">
        <v>931557</v>
      </c>
      <c r="H214" s="62" t="s">
        <v>335</v>
      </c>
      <c r="I214" s="53">
        <v>44036</v>
      </c>
      <c r="J214" s="53"/>
      <c r="K214" s="12" t="s">
        <v>129</v>
      </c>
      <c r="L214" s="51">
        <v>759635</v>
      </c>
      <c r="M214" s="51">
        <f>-759635+759635</f>
        <v>0</v>
      </c>
      <c r="N214" s="52"/>
    </row>
    <row r="215" spans="1:14" ht="12.75" customHeight="1">
      <c r="A215" t="s">
        <v>19</v>
      </c>
      <c r="B215" s="6">
        <v>12267</v>
      </c>
      <c r="C215" s="2" t="s">
        <v>325</v>
      </c>
      <c r="D215" s="6">
        <v>220832</v>
      </c>
      <c r="E215" s="47">
        <v>44265</v>
      </c>
      <c r="F215" t="s">
        <v>336</v>
      </c>
      <c r="G215" s="113">
        <v>934446</v>
      </c>
      <c r="H215" s="62" t="s">
        <v>337</v>
      </c>
      <c r="I215" s="53">
        <v>44470</v>
      </c>
      <c r="J215" s="53"/>
      <c r="K215" s="12">
        <v>44834</v>
      </c>
      <c r="L215" s="51">
        <v>4499999.9799999995</v>
      </c>
      <c r="M215" s="51">
        <f>-200000-462857.14+200000+462857.16-3837142.86+200000+462857.14+200000+925714.28+925714.28+462857.14</f>
        <v>-659999.99999999965</v>
      </c>
      <c r="N215" s="52" t="s">
        <v>332</v>
      </c>
    </row>
    <row r="216" spans="1:14" ht="12.75" customHeight="1">
      <c r="A216" t="s">
        <v>19</v>
      </c>
      <c r="B216" s="6">
        <v>12267</v>
      </c>
      <c r="C216" s="2" t="s">
        <v>325</v>
      </c>
      <c r="D216" s="6">
        <v>221128</v>
      </c>
      <c r="E216" s="47">
        <v>44272</v>
      </c>
      <c r="F216" s="1" t="s">
        <v>338</v>
      </c>
      <c r="G216" s="113">
        <v>88957</v>
      </c>
      <c r="H216" s="62" t="s">
        <v>339</v>
      </c>
      <c r="I216" s="53">
        <v>43862</v>
      </c>
      <c r="J216" s="53"/>
      <c r="K216" s="12">
        <v>44592</v>
      </c>
      <c r="L216" s="51">
        <v>330000</v>
      </c>
      <c r="M216" s="51">
        <v>-203919.42</v>
      </c>
      <c r="N216" s="52" t="s">
        <v>175</v>
      </c>
    </row>
    <row r="217" spans="1:14" ht="12.75" customHeight="1">
      <c r="A217" t="s">
        <v>19</v>
      </c>
      <c r="B217" s="6">
        <v>12267</v>
      </c>
      <c r="C217" s="2" t="s">
        <v>325</v>
      </c>
      <c r="D217" s="6">
        <v>221209</v>
      </c>
      <c r="E217" s="47">
        <v>44469</v>
      </c>
      <c r="F217" s="1" t="s">
        <v>340</v>
      </c>
      <c r="G217" s="113">
        <v>934940</v>
      </c>
      <c r="H217" s="62" t="s">
        <v>341</v>
      </c>
      <c r="I217" s="53">
        <v>44406</v>
      </c>
      <c r="J217" s="53"/>
      <c r="K217" s="12">
        <v>45135</v>
      </c>
      <c r="L217" s="51">
        <v>238000</v>
      </c>
      <c r="M217" s="51">
        <f>-238000+238000-238000</f>
        <v>-238000</v>
      </c>
      <c r="N217" s="52" t="s">
        <v>175</v>
      </c>
    </row>
    <row r="218" spans="1:14" ht="12.75" customHeight="1">
      <c r="A218" t="s">
        <v>19</v>
      </c>
      <c r="B218" s="6">
        <v>12267</v>
      </c>
      <c r="C218" s="2" t="s">
        <v>325</v>
      </c>
      <c r="D218" s="6">
        <v>221854</v>
      </c>
      <c r="E218" s="47">
        <v>44469</v>
      </c>
      <c r="F218" s="1" t="s">
        <v>342</v>
      </c>
      <c r="G218" s="113">
        <v>935470</v>
      </c>
      <c r="H218" s="62" t="s">
        <v>343</v>
      </c>
      <c r="I218" s="53">
        <v>44337</v>
      </c>
      <c r="J218" s="53"/>
      <c r="K218" s="12">
        <v>44701</v>
      </c>
      <c r="L218" s="51">
        <v>282800</v>
      </c>
      <c r="M218" s="51">
        <f>-282800+282800</f>
        <v>0</v>
      </c>
      <c r="N218" s="52" t="s">
        <v>332</v>
      </c>
    </row>
    <row r="219" spans="1:14" ht="12.75" customHeight="1">
      <c r="A219" t="s">
        <v>19</v>
      </c>
      <c r="B219" s="6">
        <v>12267</v>
      </c>
      <c r="C219" s="2" t="s">
        <v>325</v>
      </c>
      <c r="D219" s="6">
        <v>221876</v>
      </c>
      <c r="E219" s="47">
        <v>44469</v>
      </c>
      <c r="F219" s="1" t="s">
        <v>75</v>
      </c>
      <c r="G219" s="113">
        <v>935263</v>
      </c>
      <c r="H219" s="62" t="s">
        <v>344</v>
      </c>
      <c r="I219" s="53">
        <v>44375</v>
      </c>
      <c r="J219" s="53"/>
      <c r="K219" s="12">
        <v>44739</v>
      </c>
      <c r="L219" s="51">
        <v>508940</v>
      </c>
      <c r="M219" s="51">
        <f>-508940+287000</f>
        <v>-221940</v>
      </c>
      <c r="N219" s="52" t="s">
        <v>332</v>
      </c>
    </row>
    <row r="220" spans="1:14" ht="12.75" customHeight="1">
      <c r="A220" t="s">
        <v>19</v>
      </c>
      <c r="B220" s="6">
        <v>12267</v>
      </c>
      <c r="C220" s="2" t="s">
        <v>325</v>
      </c>
      <c r="D220" s="6">
        <v>221210</v>
      </c>
      <c r="E220" s="47">
        <v>44651</v>
      </c>
      <c r="F220" s="1" t="s">
        <v>345</v>
      </c>
      <c r="G220" s="113">
        <v>934341</v>
      </c>
      <c r="H220" s="62" t="s">
        <v>346</v>
      </c>
      <c r="I220" s="53"/>
      <c r="J220" s="53"/>
      <c r="K220" s="12" t="s">
        <v>129</v>
      </c>
      <c r="L220" s="51">
        <v>208875</v>
      </c>
      <c r="M220" s="51">
        <v>-208875</v>
      </c>
      <c r="N220" s="52"/>
    </row>
    <row r="221" spans="1:14" ht="12.75" customHeight="1">
      <c r="A221" t="s">
        <v>19</v>
      </c>
      <c r="B221" s="6">
        <v>12267</v>
      </c>
      <c r="C221" s="2" t="s">
        <v>325</v>
      </c>
      <c r="D221" s="6">
        <v>222025</v>
      </c>
      <c r="E221" s="47">
        <v>44651</v>
      </c>
      <c r="F221" s="1" t="s">
        <v>208</v>
      </c>
      <c r="G221" s="113">
        <v>935961</v>
      </c>
      <c r="H221" s="62" t="s">
        <v>347</v>
      </c>
      <c r="I221" s="53"/>
      <c r="J221" s="53"/>
      <c r="K221" s="12" t="s">
        <v>129</v>
      </c>
      <c r="L221" s="51">
        <v>511100</v>
      </c>
      <c r="M221" s="51">
        <v>-511100</v>
      </c>
      <c r="N221" s="52"/>
    </row>
    <row r="222" spans="1:14" ht="12.75" customHeight="1">
      <c r="A222" t="s">
        <v>19</v>
      </c>
      <c r="B222" s="6">
        <v>12267</v>
      </c>
      <c r="C222" s="2" t="s">
        <v>325</v>
      </c>
      <c r="D222" s="6">
        <v>222722</v>
      </c>
      <c r="E222" s="47">
        <v>44651</v>
      </c>
      <c r="F222" s="1" t="s">
        <v>348</v>
      </c>
      <c r="G222" s="113">
        <v>936687</v>
      </c>
      <c r="H222" s="62" t="s">
        <v>349</v>
      </c>
      <c r="I222" s="53"/>
      <c r="J222" s="53"/>
      <c r="K222" s="12" t="s">
        <v>129</v>
      </c>
      <c r="L222" s="51">
        <v>67500</v>
      </c>
      <c r="M222" s="51">
        <v>-67500</v>
      </c>
      <c r="N222" s="52"/>
    </row>
    <row r="223" spans="1:14" ht="12.75" customHeight="1">
      <c r="A223" t="s">
        <v>19</v>
      </c>
      <c r="B223" s="6">
        <v>12267</v>
      </c>
      <c r="C223" s="2" t="s">
        <v>325</v>
      </c>
      <c r="D223" s="6">
        <v>221995</v>
      </c>
      <c r="E223" s="47">
        <v>44681</v>
      </c>
      <c r="F223" s="1" t="s">
        <v>350</v>
      </c>
      <c r="G223" s="113">
        <v>935960</v>
      </c>
      <c r="H223" s="62"/>
      <c r="I223" s="53"/>
      <c r="J223" s="53"/>
      <c r="K223" s="12" t="s">
        <v>129</v>
      </c>
      <c r="L223" s="51">
        <v>30000</v>
      </c>
      <c r="M223" s="51">
        <v>0</v>
      </c>
      <c r="N223" s="52"/>
    </row>
    <row r="224" spans="1:14" ht="12.75" customHeight="1">
      <c r="A224" t="s">
        <v>19</v>
      </c>
      <c r="B224" s="6">
        <v>12267</v>
      </c>
      <c r="C224" s="2" t="s">
        <v>325</v>
      </c>
      <c r="D224" s="6">
        <v>223900</v>
      </c>
      <c r="E224" s="47">
        <v>44681</v>
      </c>
      <c r="F224" s="1" t="s">
        <v>351</v>
      </c>
      <c r="G224" s="113">
        <v>938661</v>
      </c>
      <c r="H224" s="62"/>
      <c r="I224" s="53"/>
      <c r="J224" s="53"/>
      <c r="K224" s="12" t="s">
        <v>129</v>
      </c>
      <c r="L224" s="51">
        <v>1825000</v>
      </c>
      <c r="M224" s="51">
        <v>-1825000</v>
      </c>
      <c r="N224" s="52"/>
    </row>
    <row r="225" spans="1:14" ht="10.5" customHeight="1">
      <c r="A225" t="s">
        <v>19</v>
      </c>
      <c r="B225" s="6">
        <v>12268</v>
      </c>
      <c r="C225" s="2" t="s">
        <v>352</v>
      </c>
      <c r="D225" s="6">
        <v>148387</v>
      </c>
      <c r="E225" s="53">
        <v>42460</v>
      </c>
      <c r="F225" t="s">
        <v>353</v>
      </c>
      <c r="G225" s="113">
        <v>87976</v>
      </c>
      <c r="H225" s="62">
        <v>200</v>
      </c>
      <c r="I225" s="12">
        <v>41747</v>
      </c>
      <c r="J225" s="12"/>
      <c r="K225" s="12" t="s">
        <v>129</v>
      </c>
      <c r="L225" s="51">
        <v>85340</v>
      </c>
      <c r="M225" s="51">
        <f>-77331.84+1850+12145+4030+34215.48</f>
        <v>-25091.359999999993</v>
      </c>
      <c r="N225" s="52" t="s">
        <v>35</v>
      </c>
    </row>
    <row r="226" spans="1:14">
      <c r="A226" t="s">
        <v>19</v>
      </c>
      <c r="B226" s="6">
        <v>12268</v>
      </c>
      <c r="C226" s="2" t="s">
        <v>352</v>
      </c>
      <c r="D226" s="6">
        <v>183689</v>
      </c>
      <c r="E226" s="53">
        <v>42802</v>
      </c>
      <c r="F226" t="s">
        <v>354</v>
      </c>
      <c r="G226" s="113" t="s">
        <v>355</v>
      </c>
      <c r="H226" s="62" t="s">
        <v>356</v>
      </c>
      <c r="I226" s="12">
        <v>42594</v>
      </c>
      <c r="J226" s="12"/>
      <c r="K226" s="12">
        <v>46265</v>
      </c>
      <c r="L226" s="51">
        <v>71780</v>
      </c>
      <c r="M226" s="51">
        <f>-71780+66320</f>
        <v>-5460</v>
      </c>
      <c r="N226" s="52" t="s">
        <v>35</v>
      </c>
    </row>
    <row r="227" spans="1:14" customFormat="1">
      <c r="A227" t="s">
        <v>19</v>
      </c>
      <c r="B227" s="6">
        <v>12268</v>
      </c>
      <c r="C227" s="2" t="s">
        <v>352</v>
      </c>
      <c r="D227" s="6">
        <v>222006</v>
      </c>
      <c r="E227" s="47">
        <v>44469</v>
      </c>
      <c r="F227" s="1" t="s">
        <v>357</v>
      </c>
      <c r="G227" s="113">
        <v>9934033</v>
      </c>
      <c r="H227" s="61"/>
      <c r="I227" s="12"/>
      <c r="J227" s="12"/>
      <c r="K227" s="7" t="s">
        <v>129</v>
      </c>
      <c r="L227" s="51">
        <v>113600</v>
      </c>
      <c r="M227" s="51">
        <v>-113600</v>
      </c>
      <c r="N227" s="52"/>
    </row>
    <row r="228" spans="1:14" customFormat="1">
      <c r="A228" t="s">
        <v>19</v>
      </c>
      <c r="B228" s="6">
        <v>12269</v>
      </c>
      <c r="C228" s="2" t="s">
        <v>358</v>
      </c>
      <c r="D228" s="6">
        <v>216265</v>
      </c>
      <c r="E228" s="47">
        <v>43923</v>
      </c>
      <c r="F228" s="1" t="s">
        <v>359</v>
      </c>
      <c r="G228" s="113">
        <v>930599</v>
      </c>
      <c r="H228" s="61" t="s">
        <v>360</v>
      </c>
      <c r="I228" s="12">
        <v>43891</v>
      </c>
      <c r="J228" s="12"/>
      <c r="K228" s="50">
        <v>44256</v>
      </c>
      <c r="L228" s="51">
        <v>15000</v>
      </c>
      <c r="M228" s="51">
        <v>-15000</v>
      </c>
      <c r="N228" s="52" t="s">
        <v>29</v>
      </c>
    </row>
    <row r="229" spans="1:14" customFormat="1">
      <c r="A229" t="s">
        <v>19</v>
      </c>
      <c r="B229" s="6">
        <v>12269</v>
      </c>
      <c r="C229" s="2" t="s">
        <v>358</v>
      </c>
      <c r="D229" s="6">
        <v>216269</v>
      </c>
      <c r="E229" s="47">
        <v>43924</v>
      </c>
      <c r="F229" s="1" t="s">
        <v>361</v>
      </c>
      <c r="G229" s="113">
        <v>929238</v>
      </c>
      <c r="H229" s="61" t="s">
        <v>362</v>
      </c>
      <c r="I229" s="12">
        <v>43814</v>
      </c>
      <c r="J229" s="12"/>
      <c r="K229" s="50">
        <v>44180</v>
      </c>
      <c r="L229" s="51">
        <v>30000</v>
      </c>
      <c r="M229" s="51">
        <v>-30000</v>
      </c>
      <c r="N229" s="52" t="s">
        <v>29</v>
      </c>
    </row>
    <row r="230" spans="1:14" customFormat="1" ht="12.6" customHeight="1">
      <c r="A230" t="s">
        <v>19</v>
      </c>
      <c r="B230" s="6">
        <v>12269</v>
      </c>
      <c r="C230" s="2" t="s">
        <v>358</v>
      </c>
      <c r="D230" s="6">
        <v>216392</v>
      </c>
      <c r="E230" s="47">
        <v>43941</v>
      </c>
      <c r="F230" s="1" t="s">
        <v>363</v>
      </c>
      <c r="G230" s="113">
        <v>66961</v>
      </c>
      <c r="H230" s="61" t="s">
        <v>364</v>
      </c>
      <c r="I230" s="12">
        <v>43763</v>
      </c>
      <c r="J230" s="12"/>
      <c r="K230" s="50">
        <v>44129</v>
      </c>
      <c r="L230" s="51">
        <v>20000</v>
      </c>
      <c r="M230" s="51">
        <v>-20000</v>
      </c>
      <c r="N230" s="52" t="s">
        <v>29</v>
      </c>
    </row>
    <row r="231" spans="1:14" customFormat="1">
      <c r="A231" t="s">
        <v>19</v>
      </c>
      <c r="B231" s="6">
        <v>12269</v>
      </c>
      <c r="C231" s="2" t="s">
        <v>358</v>
      </c>
      <c r="D231" s="6">
        <v>216412</v>
      </c>
      <c r="E231" s="47">
        <v>43949</v>
      </c>
      <c r="F231" s="1" t="s">
        <v>365</v>
      </c>
      <c r="G231" s="113">
        <v>930100</v>
      </c>
      <c r="H231" s="61" t="s">
        <v>366</v>
      </c>
      <c r="I231" s="12">
        <v>43891</v>
      </c>
      <c r="J231" s="12"/>
      <c r="K231" s="7" t="s">
        <v>129</v>
      </c>
      <c r="L231" s="51">
        <v>21855</v>
      </c>
      <c r="M231" s="51">
        <f>-21855+10000-10000</f>
        <v>-21855</v>
      </c>
      <c r="N231" s="52" t="s">
        <v>22</v>
      </c>
    </row>
    <row r="232" spans="1:14">
      <c r="A232" t="s">
        <v>19</v>
      </c>
      <c r="B232" s="6">
        <v>12271</v>
      </c>
      <c r="C232" s="2" t="s">
        <v>367</v>
      </c>
      <c r="D232" s="6">
        <v>180836</v>
      </c>
      <c r="E232" s="47">
        <v>42664</v>
      </c>
      <c r="F232" t="s">
        <v>368</v>
      </c>
      <c r="G232" s="113">
        <v>916151</v>
      </c>
      <c r="H232" s="62">
        <v>1076</v>
      </c>
      <c r="I232" s="12">
        <v>42650</v>
      </c>
      <c r="J232" s="12"/>
      <c r="K232" s="12">
        <v>46418</v>
      </c>
      <c r="L232" s="51">
        <v>75000</v>
      </c>
      <c r="M232" s="51">
        <v>-75000</v>
      </c>
      <c r="N232" s="52" t="s">
        <v>209</v>
      </c>
    </row>
    <row r="233" spans="1:14" ht="12.75" customHeight="1">
      <c r="A233" t="s">
        <v>19</v>
      </c>
      <c r="B233" s="6">
        <v>12271</v>
      </c>
      <c r="C233" s="2" t="s">
        <v>367</v>
      </c>
      <c r="D233" s="6">
        <v>183790</v>
      </c>
      <c r="E233" s="47">
        <v>42803</v>
      </c>
      <c r="F233" t="s">
        <v>369</v>
      </c>
      <c r="G233" s="113">
        <v>916139</v>
      </c>
      <c r="H233" s="62">
        <v>2334</v>
      </c>
      <c r="I233" s="12">
        <v>42715</v>
      </c>
      <c r="J233" s="12"/>
      <c r="K233" s="12">
        <v>46418</v>
      </c>
      <c r="L233" s="51">
        <v>75000</v>
      </c>
      <c r="M233" s="51">
        <v>-75000</v>
      </c>
      <c r="N233" s="52" t="s">
        <v>370</v>
      </c>
    </row>
    <row r="234" spans="1:14" ht="12.75" customHeight="1">
      <c r="A234" t="s">
        <v>19</v>
      </c>
      <c r="B234" s="6">
        <v>12271</v>
      </c>
      <c r="C234" s="2" t="s">
        <v>367</v>
      </c>
      <c r="D234" s="6">
        <v>209262</v>
      </c>
      <c r="E234" s="47">
        <v>43587</v>
      </c>
      <c r="F234" t="s">
        <v>371</v>
      </c>
      <c r="G234" s="113">
        <v>924598</v>
      </c>
      <c r="H234" s="62">
        <v>2510</v>
      </c>
      <c r="I234" s="12">
        <v>43435</v>
      </c>
      <c r="J234" s="12"/>
      <c r="K234" s="12" t="s">
        <v>129</v>
      </c>
      <c r="L234" s="51">
        <v>243740</v>
      </c>
      <c r="M234" s="51">
        <v>-243740</v>
      </c>
      <c r="N234" s="52" t="s">
        <v>22</v>
      </c>
    </row>
    <row r="235" spans="1:14" ht="12.75" customHeight="1">
      <c r="A235" t="s">
        <v>19</v>
      </c>
      <c r="B235" s="6">
        <v>12271</v>
      </c>
      <c r="C235" s="2" t="s">
        <v>367</v>
      </c>
      <c r="D235" s="6">
        <v>216334</v>
      </c>
      <c r="E235" s="47">
        <v>43930</v>
      </c>
      <c r="F235" t="s">
        <v>372</v>
      </c>
      <c r="G235" s="113">
        <v>929915</v>
      </c>
      <c r="H235" s="62">
        <v>1070</v>
      </c>
      <c r="I235" s="12">
        <v>43862</v>
      </c>
      <c r="J235" s="12"/>
      <c r="K235" s="12">
        <v>44228</v>
      </c>
      <c r="L235" s="51">
        <v>50000</v>
      </c>
      <c r="M235" s="51">
        <f>-50000+55000-55000+50000</f>
        <v>0</v>
      </c>
      <c r="N235" s="52" t="s">
        <v>29</v>
      </c>
    </row>
    <row r="236" spans="1:14" ht="12.6" customHeight="1">
      <c r="A236" t="s">
        <v>19</v>
      </c>
      <c r="B236" s="6">
        <v>12271</v>
      </c>
      <c r="C236" s="2" t="s">
        <v>367</v>
      </c>
      <c r="D236" s="6">
        <v>222030</v>
      </c>
      <c r="E236" s="47">
        <v>44530</v>
      </c>
      <c r="F236" t="s">
        <v>373</v>
      </c>
      <c r="G236" s="113" t="s">
        <v>374</v>
      </c>
      <c r="H236" s="62"/>
      <c r="I236" s="12"/>
      <c r="J236" s="12"/>
      <c r="K236" s="12" t="s">
        <v>129</v>
      </c>
      <c r="L236" s="51">
        <v>86130</v>
      </c>
      <c r="M236" s="51">
        <v>-86130</v>
      </c>
      <c r="N236" s="52"/>
    </row>
    <row r="237" spans="1:14" ht="13.5" customHeight="1">
      <c r="A237" t="s">
        <v>19</v>
      </c>
      <c r="B237" s="6">
        <v>12277</v>
      </c>
      <c r="C237" s="2" t="s">
        <v>375</v>
      </c>
      <c r="D237" s="6">
        <v>128096</v>
      </c>
      <c r="E237" s="47">
        <v>41626</v>
      </c>
      <c r="F237" t="s">
        <v>376</v>
      </c>
      <c r="G237" s="113">
        <v>73383</v>
      </c>
      <c r="H237" s="62" t="s">
        <v>377</v>
      </c>
      <c r="I237" s="12">
        <v>41338</v>
      </c>
      <c r="J237" s="12"/>
      <c r="K237" s="12">
        <v>48852</v>
      </c>
      <c r="L237" s="51">
        <v>1320000</v>
      </c>
      <c r="M237" s="51">
        <f>-1320000+648000</f>
        <v>-672000</v>
      </c>
      <c r="N237" s="52" t="s">
        <v>378</v>
      </c>
    </row>
    <row r="238" spans="1:14" ht="12.75" customHeight="1">
      <c r="A238" t="s">
        <v>19</v>
      </c>
      <c r="B238" s="6">
        <v>12277</v>
      </c>
      <c r="C238" s="2" t="s">
        <v>375</v>
      </c>
      <c r="D238" s="6">
        <v>183505</v>
      </c>
      <c r="E238" s="47">
        <v>42782</v>
      </c>
      <c r="F238" t="s">
        <v>379</v>
      </c>
      <c r="G238" s="113" t="s">
        <v>380</v>
      </c>
      <c r="H238" s="62">
        <v>233</v>
      </c>
      <c r="I238" s="12">
        <v>42757</v>
      </c>
      <c r="J238" s="12"/>
      <c r="K238" s="12">
        <v>43122</v>
      </c>
      <c r="L238" s="51">
        <v>150000</v>
      </c>
      <c r="M238" s="51">
        <v>-150000</v>
      </c>
      <c r="N238" s="59" t="s">
        <v>381</v>
      </c>
    </row>
    <row r="239" spans="1:14" ht="12.75" customHeight="1">
      <c r="A239" t="s">
        <v>19</v>
      </c>
      <c r="B239" s="6">
        <v>12277</v>
      </c>
      <c r="C239" s="2" t="s">
        <v>375</v>
      </c>
      <c r="D239" s="6">
        <v>183484</v>
      </c>
      <c r="E239" s="47">
        <v>42783</v>
      </c>
      <c r="F239" t="s">
        <v>382</v>
      </c>
      <c r="G239" s="113" t="s">
        <v>383</v>
      </c>
      <c r="H239" s="62">
        <v>381</v>
      </c>
      <c r="I239" s="12">
        <v>42746</v>
      </c>
      <c r="J239" s="12"/>
      <c r="K239" s="12">
        <v>43110</v>
      </c>
      <c r="L239" s="51">
        <v>85000</v>
      </c>
      <c r="M239" s="51">
        <f>-85000-21180.26+42500+21180.26</f>
        <v>-42500</v>
      </c>
      <c r="N239" s="59" t="s">
        <v>384</v>
      </c>
    </row>
    <row r="240" spans="1:14" ht="12.75" customHeight="1">
      <c r="A240" t="s">
        <v>19</v>
      </c>
      <c r="B240" s="6">
        <v>12277</v>
      </c>
      <c r="C240" s="2" t="s">
        <v>375</v>
      </c>
      <c r="D240" s="6">
        <v>186242</v>
      </c>
      <c r="E240" s="47">
        <v>42927</v>
      </c>
      <c r="F240" t="s">
        <v>385</v>
      </c>
      <c r="G240" s="113" t="s">
        <v>386</v>
      </c>
      <c r="H240" s="62" t="s">
        <v>387</v>
      </c>
      <c r="I240" s="12">
        <v>42948</v>
      </c>
      <c r="J240" s="12"/>
      <c r="K240" s="12">
        <v>43312</v>
      </c>
      <c r="L240" s="51">
        <v>25000</v>
      </c>
      <c r="M240" s="51">
        <v>-25000</v>
      </c>
      <c r="N240" s="59" t="s">
        <v>388</v>
      </c>
    </row>
    <row r="241" spans="1:14" ht="12.75" customHeight="1">
      <c r="A241" t="s">
        <v>19</v>
      </c>
      <c r="B241" s="6">
        <v>12277</v>
      </c>
      <c r="C241" s="2" t="s">
        <v>375</v>
      </c>
      <c r="D241" s="6">
        <v>214674</v>
      </c>
      <c r="E241" s="47">
        <v>43801</v>
      </c>
      <c r="F241" t="s">
        <v>389</v>
      </c>
      <c r="G241" s="113">
        <v>927040</v>
      </c>
      <c r="H241" s="62">
        <v>100</v>
      </c>
      <c r="I241" s="12">
        <v>43675</v>
      </c>
      <c r="J241" s="12"/>
      <c r="K241" s="12">
        <v>47514</v>
      </c>
      <c r="L241" s="51">
        <v>280000</v>
      </c>
      <c r="M241" s="51">
        <f>-280000+280000</f>
        <v>0</v>
      </c>
      <c r="N241" s="52" t="s">
        <v>270</v>
      </c>
    </row>
    <row r="242" spans="1:14" ht="12.75" customHeight="1">
      <c r="A242" t="s">
        <v>19</v>
      </c>
      <c r="B242" s="6">
        <v>12277</v>
      </c>
      <c r="C242" s="2" t="s">
        <v>375</v>
      </c>
      <c r="D242" s="6">
        <v>215071</v>
      </c>
      <c r="E242" s="47">
        <v>43866</v>
      </c>
      <c r="F242" t="s">
        <v>390</v>
      </c>
      <c r="G242" s="113">
        <v>906357</v>
      </c>
      <c r="H242" s="62">
        <v>7</v>
      </c>
      <c r="I242" s="53">
        <v>43866</v>
      </c>
      <c r="J242" s="53"/>
      <c r="K242" s="12" t="s">
        <v>129</v>
      </c>
      <c r="L242" s="51">
        <v>183168</v>
      </c>
      <c r="M242" s="51">
        <f>-183168+183168</f>
        <v>0</v>
      </c>
      <c r="N242" s="52" t="s">
        <v>155</v>
      </c>
    </row>
    <row r="243" spans="1:14" ht="12.75" customHeight="1">
      <c r="A243" t="s">
        <v>19</v>
      </c>
      <c r="B243" s="6">
        <v>12277</v>
      </c>
      <c r="C243" s="2" t="s">
        <v>375</v>
      </c>
      <c r="D243" s="6">
        <v>215406</v>
      </c>
      <c r="E243" s="47">
        <v>43872</v>
      </c>
      <c r="F243" s="1" t="s">
        <v>391</v>
      </c>
      <c r="G243" s="113">
        <v>301201</v>
      </c>
      <c r="H243" s="62">
        <v>181</v>
      </c>
      <c r="I243" s="12">
        <v>43810</v>
      </c>
      <c r="J243" s="12"/>
      <c r="K243" s="12">
        <v>47483</v>
      </c>
      <c r="L243" s="51">
        <v>300400</v>
      </c>
      <c r="M243" s="51">
        <f>-300400+300400</f>
        <v>0</v>
      </c>
      <c r="N243" s="52" t="s">
        <v>270</v>
      </c>
    </row>
    <row r="244" spans="1:14" ht="12.75" customHeight="1">
      <c r="A244" t="s">
        <v>19</v>
      </c>
      <c r="B244" s="6">
        <v>12277</v>
      </c>
      <c r="C244" s="2" t="s">
        <v>375</v>
      </c>
      <c r="D244" s="6">
        <v>220247</v>
      </c>
      <c r="E244" s="47">
        <v>44196</v>
      </c>
      <c r="F244" s="1" t="s">
        <v>392</v>
      </c>
      <c r="G244" s="113">
        <v>928873</v>
      </c>
      <c r="H244" s="62" t="s">
        <v>393</v>
      </c>
      <c r="I244" s="12">
        <v>44348</v>
      </c>
      <c r="J244" s="12"/>
      <c r="K244" s="12">
        <v>44712</v>
      </c>
      <c r="L244" s="51">
        <v>225000</v>
      </c>
      <c r="M244" s="51">
        <v>0</v>
      </c>
      <c r="N244" s="52" t="s">
        <v>394</v>
      </c>
    </row>
    <row r="245" spans="1:14" ht="12.75" customHeight="1">
      <c r="A245" t="s">
        <v>19</v>
      </c>
      <c r="B245" s="6">
        <v>12277</v>
      </c>
      <c r="C245" s="2" t="s">
        <v>375</v>
      </c>
      <c r="D245" s="6">
        <v>220738</v>
      </c>
      <c r="E245" s="47">
        <v>44286</v>
      </c>
      <c r="F245" s="1" t="s">
        <v>395</v>
      </c>
      <c r="G245" s="113">
        <v>932100</v>
      </c>
      <c r="H245" s="62"/>
      <c r="I245" s="12"/>
      <c r="J245" s="12"/>
      <c r="K245" s="12" t="s">
        <v>129</v>
      </c>
      <c r="L245" s="51">
        <v>3800</v>
      </c>
      <c r="M245" s="51">
        <f>-3800+3800</f>
        <v>0</v>
      </c>
      <c r="N245" s="52"/>
    </row>
    <row r="246" spans="1:14" ht="12.75" customHeight="1">
      <c r="A246" t="s">
        <v>19</v>
      </c>
      <c r="B246" s="6">
        <v>12277</v>
      </c>
      <c r="C246" s="2" t="s">
        <v>375</v>
      </c>
      <c r="D246" s="6">
        <v>221126</v>
      </c>
      <c r="E246" s="47">
        <v>44316</v>
      </c>
      <c r="F246" s="1" t="s">
        <v>396</v>
      </c>
      <c r="G246" s="113">
        <v>929323</v>
      </c>
      <c r="H246" s="62"/>
      <c r="I246" s="12"/>
      <c r="J246" s="12"/>
      <c r="K246" s="12" t="s">
        <v>129</v>
      </c>
      <c r="L246" s="51">
        <v>113795</v>
      </c>
      <c r="M246" s="51">
        <f>-113795+113795</f>
        <v>0</v>
      </c>
      <c r="N246" s="52"/>
    </row>
    <row r="247" spans="1:14" ht="12.75" customHeight="1">
      <c r="A247" t="s">
        <v>19</v>
      </c>
      <c r="B247" s="6">
        <v>12277</v>
      </c>
      <c r="C247" s="2" t="s">
        <v>375</v>
      </c>
      <c r="D247" s="6">
        <v>221172</v>
      </c>
      <c r="E247" s="47">
        <v>44316</v>
      </c>
      <c r="F247" s="1" t="s">
        <v>397</v>
      </c>
      <c r="G247" s="113">
        <v>17830</v>
      </c>
      <c r="H247" s="62"/>
      <c r="I247" s="12"/>
      <c r="J247" s="12"/>
      <c r="K247" s="12" t="s">
        <v>129</v>
      </c>
      <c r="L247" s="51">
        <v>340513.42</v>
      </c>
      <c r="M247" s="51">
        <f>-340513.42+340513.42</f>
        <v>0</v>
      </c>
      <c r="N247" s="52"/>
    </row>
    <row r="248" spans="1:14" ht="12.75" customHeight="1">
      <c r="A248" t="s">
        <v>19</v>
      </c>
      <c r="B248" s="6">
        <v>12277</v>
      </c>
      <c r="C248" s="2" t="s">
        <v>375</v>
      </c>
      <c r="D248" s="6">
        <v>221173</v>
      </c>
      <c r="E248" s="47">
        <v>44316</v>
      </c>
      <c r="F248" s="1" t="s">
        <v>183</v>
      </c>
      <c r="G248" s="113">
        <v>931073</v>
      </c>
      <c r="H248" s="62">
        <v>8</v>
      </c>
      <c r="I248" s="12">
        <v>44365</v>
      </c>
      <c r="J248" s="12"/>
      <c r="K248" s="12">
        <v>45094</v>
      </c>
      <c r="L248" s="51">
        <v>200000</v>
      </c>
      <c r="M248" s="51">
        <f>-200000+100000+100000</f>
        <v>0</v>
      </c>
      <c r="N248" s="52" t="s">
        <v>398</v>
      </c>
    </row>
    <row r="249" spans="1:14" ht="12.75" customHeight="1">
      <c r="A249" t="s">
        <v>19</v>
      </c>
      <c r="B249" s="6">
        <v>12277</v>
      </c>
      <c r="C249" s="2" t="s">
        <v>375</v>
      </c>
      <c r="D249" s="6">
        <v>223128</v>
      </c>
      <c r="E249" s="47">
        <v>44592</v>
      </c>
      <c r="F249" s="1" t="s">
        <v>399</v>
      </c>
      <c r="G249" s="113">
        <v>937074</v>
      </c>
      <c r="H249" s="62">
        <v>14</v>
      </c>
      <c r="I249" s="12"/>
      <c r="J249" s="12"/>
      <c r="K249" s="12" t="s">
        <v>129</v>
      </c>
      <c r="L249" s="51"/>
      <c r="M249" s="51">
        <v>-80000</v>
      </c>
      <c r="N249" s="52"/>
    </row>
    <row r="250" spans="1:14" ht="12.75" customHeight="1">
      <c r="A250" t="s">
        <v>19</v>
      </c>
      <c r="B250" s="6">
        <v>12279</v>
      </c>
      <c r="C250" s="2" t="s">
        <v>400</v>
      </c>
      <c r="D250" s="6">
        <v>216335</v>
      </c>
      <c r="E250" s="47">
        <v>43930</v>
      </c>
      <c r="F250" s="1" t="s">
        <v>401</v>
      </c>
      <c r="G250" s="113">
        <v>929988</v>
      </c>
      <c r="H250" s="62">
        <v>202</v>
      </c>
      <c r="I250" s="12">
        <v>43876</v>
      </c>
      <c r="J250" s="12"/>
      <c r="K250" s="12">
        <v>44242</v>
      </c>
      <c r="L250" s="51">
        <v>525000</v>
      </c>
      <c r="M250" s="51">
        <f>-525000+515000</f>
        <v>-10000</v>
      </c>
      <c r="N250" s="52" t="s">
        <v>29</v>
      </c>
    </row>
    <row r="251" spans="1:14" ht="12.75" customHeight="1">
      <c r="A251" t="s">
        <v>19</v>
      </c>
      <c r="B251" s="6">
        <v>12279</v>
      </c>
      <c r="C251" s="2" t="s">
        <v>400</v>
      </c>
      <c r="D251" s="6">
        <v>221411</v>
      </c>
      <c r="E251" s="47">
        <v>44316</v>
      </c>
      <c r="F251" s="1" t="s">
        <v>402</v>
      </c>
      <c r="G251" s="113">
        <v>923997</v>
      </c>
      <c r="H251" s="62">
        <v>126</v>
      </c>
      <c r="I251" s="12">
        <v>43922</v>
      </c>
      <c r="J251" s="12"/>
      <c r="K251" s="12">
        <v>44773</v>
      </c>
      <c r="L251" s="51">
        <v>60000</v>
      </c>
      <c r="M251" s="51">
        <v>0</v>
      </c>
      <c r="N251" s="52" t="s">
        <v>111</v>
      </c>
    </row>
    <row r="252" spans="1:14" ht="12.75" customHeight="1">
      <c r="A252" t="s">
        <v>19</v>
      </c>
      <c r="B252" s="6">
        <v>12279</v>
      </c>
      <c r="C252" s="2" t="s">
        <v>400</v>
      </c>
      <c r="D252" s="6">
        <v>221780</v>
      </c>
      <c r="E252" s="47">
        <v>44377</v>
      </c>
      <c r="F252" s="1" t="s">
        <v>94</v>
      </c>
      <c r="G252" s="113">
        <v>934349</v>
      </c>
      <c r="H252" s="62">
        <v>204</v>
      </c>
      <c r="I252" s="12">
        <v>44320</v>
      </c>
      <c r="J252" s="12"/>
      <c r="K252" s="12">
        <v>45049</v>
      </c>
      <c r="L252" s="51">
        <v>429840</v>
      </c>
      <c r="M252" s="51">
        <f>-429840+429840</f>
        <v>0</v>
      </c>
      <c r="N252" s="52" t="s">
        <v>92</v>
      </c>
    </row>
    <row r="253" spans="1:14" ht="12.75" customHeight="1">
      <c r="A253" t="s">
        <v>19</v>
      </c>
      <c r="B253" s="6">
        <v>12280</v>
      </c>
      <c r="C253" s="2" t="s">
        <v>403</v>
      </c>
      <c r="D253" s="6">
        <v>127154</v>
      </c>
      <c r="E253" s="47">
        <v>41759</v>
      </c>
      <c r="F253" s="1" t="s">
        <v>404</v>
      </c>
      <c r="G253" s="113">
        <v>72800</v>
      </c>
      <c r="H253" s="62" t="s">
        <v>405</v>
      </c>
      <c r="I253" s="12">
        <v>41596</v>
      </c>
      <c r="J253" s="12"/>
      <c r="K253" s="12">
        <v>47149</v>
      </c>
      <c r="L253" s="51">
        <v>8938</v>
      </c>
      <c r="M253" s="51">
        <v>-8938</v>
      </c>
      <c r="N253" s="52" t="s">
        <v>270</v>
      </c>
    </row>
    <row r="254" spans="1:14" ht="12.6" customHeight="1">
      <c r="A254" t="s">
        <v>19</v>
      </c>
      <c r="B254" s="6">
        <v>12280</v>
      </c>
      <c r="C254" s="2" t="s">
        <v>403</v>
      </c>
      <c r="D254" s="6">
        <v>190507</v>
      </c>
      <c r="E254" s="47">
        <v>43159</v>
      </c>
      <c r="F254" s="1" t="s">
        <v>406</v>
      </c>
      <c r="G254" s="113">
        <v>922580</v>
      </c>
      <c r="H254" s="62" t="s">
        <v>168</v>
      </c>
      <c r="I254" s="12">
        <v>43134</v>
      </c>
      <c r="J254" s="12"/>
      <c r="K254" s="12">
        <v>43498</v>
      </c>
      <c r="L254" s="51">
        <v>45585</v>
      </c>
      <c r="M254" s="51">
        <v>-45585</v>
      </c>
      <c r="N254" s="73" t="s">
        <v>29</v>
      </c>
    </row>
    <row r="255" spans="1:14" ht="12.75" customHeight="1">
      <c r="A255" t="s">
        <v>19</v>
      </c>
      <c r="B255" s="6">
        <v>12280</v>
      </c>
      <c r="C255" s="2" t="s">
        <v>403</v>
      </c>
      <c r="D255" s="6">
        <v>196863</v>
      </c>
      <c r="E255" s="47">
        <v>43461</v>
      </c>
      <c r="F255" s="1" t="s">
        <v>407</v>
      </c>
      <c r="G255" s="113">
        <v>926489</v>
      </c>
      <c r="H255" s="62" t="s">
        <v>408</v>
      </c>
      <c r="I255" s="12">
        <v>43709</v>
      </c>
      <c r="J255" s="12"/>
      <c r="K255" s="12" t="s">
        <v>129</v>
      </c>
      <c r="L255" s="51">
        <v>48525</v>
      </c>
      <c r="M255" s="51">
        <f>-48525+48525</f>
        <v>0</v>
      </c>
      <c r="N255" s="73" t="s">
        <v>22</v>
      </c>
    </row>
    <row r="256" spans="1:14" ht="12.75" customHeight="1">
      <c r="A256" t="s">
        <v>19</v>
      </c>
      <c r="B256" s="6">
        <v>12280</v>
      </c>
      <c r="C256" s="2" t="s">
        <v>403</v>
      </c>
      <c r="D256" s="6">
        <v>211710</v>
      </c>
      <c r="E256" s="47">
        <v>43661</v>
      </c>
      <c r="F256" s="1" t="s">
        <v>409</v>
      </c>
      <c r="G256" s="113">
        <v>927895</v>
      </c>
      <c r="H256" s="62" t="s">
        <v>410</v>
      </c>
      <c r="I256" s="12">
        <v>43622</v>
      </c>
      <c r="J256" s="12"/>
      <c r="K256" s="12">
        <v>43989</v>
      </c>
      <c r="L256" s="51">
        <v>74995.33</v>
      </c>
      <c r="M256" s="51">
        <v>-74995.33</v>
      </c>
      <c r="N256" s="73" t="s">
        <v>29</v>
      </c>
    </row>
    <row r="257" spans="1:14" ht="12.75" customHeight="1">
      <c r="A257" t="s">
        <v>19</v>
      </c>
      <c r="B257" s="6">
        <v>12280</v>
      </c>
      <c r="C257" s="2" t="s">
        <v>403</v>
      </c>
      <c r="D257" s="6">
        <v>212285</v>
      </c>
      <c r="E257" s="47">
        <v>43693</v>
      </c>
      <c r="F257" s="1" t="s">
        <v>411</v>
      </c>
      <c r="G257" s="113">
        <v>58152</v>
      </c>
      <c r="H257" s="62">
        <v>9002</v>
      </c>
      <c r="I257" s="12">
        <v>43831</v>
      </c>
      <c r="J257" s="12"/>
      <c r="K257" s="12" t="s">
        <v>129</v>
      </c>
      <c r="L257" s="51">
        <v>4000</v>
      </c>
      <c r="M257" s="51">
        <v>-2000</v>
      </c>
      <c r="N257" s="73" t="s">
        <v>22</v>
      </c>
    </row>
    <row r="258" spans="1:14" ht="12.75" customHeight="1">
      <c r="A258" t="s">
        <v>19</v>
      </c>
      <c r="B258" s="6">
        <v>12280</v>
      </c>
      <c r="C258" s="2" t="s">
        <v>403</v>
      </c>
      <c r="D258" s="6">
        <v>214673</v>
      </c>
      <c r="E258" s="47">
        <v>43801</v>
      </c>
      <c r="F258" s="1" t="s">
        <v>412</v>
      </c>
      <c r="G258" s="113">
        <v>928993</v>
      </c>
      <c r="H258" s="62" t="s">
        <v>244</v>
      </c>
      <c r="I258" s="12">
        <v>43776</v>
      </c>
      <c r="J258" s="12"/>
      <c r="K258" s="12">
        <v>47514</v>
      </c>
      <c r="L258" s="51">
        <v>316400</v>
      </c>
      <c r="M258" s="51">
        <f>-316400+316400</f>
        <v>0</v>
      </c>
      <c r="N258" s="52" t="s">
        <v>35</v>
      </c>
    </row>
    <row r="259" spans="1:14" ht="12.75" customHeight="1">
      <c r="A259" t="s">
        <v>19</v>
      </c>
      <c r="B259" s="6">
        <v>12280</v>
      </c>
      <c r="C259" s="2" t="s">
        <v>403</v>
      </c>
      <c r="D259" s="6">
        <v>214682</v>
      </c>
      <c r="E259" s="47">
        <v>43802</v>
      </c>
      <c r="F259" s="1" t="s">
        <v>413</v>
      </c>
      <c r="G259" s="113">
        <v>927647</v>
      </c>
      <c r="H259" s="62" t="s">
        <v>414</v>
      </c>
      <c r="I259" s="12">
        <v>43709</v>
      </c>
      <c r="J259" s="12"/>
      <c r="K259" s="12">
        <v>44075</v>
      </c>
      <c r="L259" s="51">
        <v>35000</v>
      </c>
      <c r="M259" s="51">
        <v>-35000</v>
      </c>
      <c r="N259" s="52" t="s">
        <v>29</v>
      </c>
    </row>
    <row r="260" spans="1:14" ht="12.6" customHeight="1">
      <c r="A260" s="1" t="s">
        <v>19</v>
      </c>
      <c r="B260" s="6">
        <v>12280</v>
      </c>
      <c r="C260" s="2" t="s">
        <v>403</v>
      </c>
      <c r="D260" s="6">
        <v>215075</v>
      </c>
      <c r="E260" s="47">
        <v>43871</v>
      </c>
      <c r="F260" t="s">
        <v>415</v>
      </c>
      <c r="G260" s="113">
        <v>95023</v>
      </c>
      <c r="H260" s="62" t="s">
        <v>416</v>
      </c>
      <c r="I260" s="12">
        <v>43795</v>
      </c>
      <c r="J260" s="12"/>
      <c r="K260" s="12">
        <v>44161</v>
      </c>
      <c r="L260" s="51">
        <v>50000</v>
      </c>
      <c r="M260" s="51">
        <v>-50000</v>
      </c>
      <c r="N260" s="52" t="s">
        <v>29</v>
      </c>
    </row>
    <row r="261" spans="1:14">
      <c r="A261" t="s">
        <v>19</v>
      </c>
      <c r="B261" s="6">
        <v>12280</v>
      </c>
      <c r="C261" s="2" t="s">
        <v>403</v>
      </c>
      <c r="D261" s="6">
        <v>215370</v>
      </c>
      <c r="E261" s="47">
        <v>43871</v>
      </c>
      <c r="F261" t="s">
        <v>417</v>
      </c>
      <c r="G261" s="113">
        <v>929672</v>
      </c>
      <c r="H261" s="62" t="s">
        <v>418</v>
      </c>
      <c r="I261" s="12">
        <v>43834</v>
      </c>
      <c r="J261" s="12"/>
      <c r="K261" s="12">
        <v>47634</v>
      </c>
      <c r="L261" s="51">
        <v>10000</v>
      </c>
      <c r="M261" s="51">
        <v>-10000</v>
      </c>
      <c r="N261" s="52" t="s">
        <v>35</v>
      </c>
    </row>
    <row r="262" spans="1:14">
      <c r="A262" t="s">
        <v>19</v>
      </c>
      <c r="B262" s="6">
        <v>12280</v>
      </c>
      <c r="C262" s="2" t="s">
        <v>403</v>
      </c>
      <c r="D262" s="6">
        <v>216268</v>
      </c>
      <c r="E262" s="47">
        <v>43924</v>
      </c>
      <c r="F262" t="s">
        <v>419</v>
      </c>
      <c r="G262" s="113">
        <v>930422</v>
      </c>
      <c r="H262" s="62" t="s">
        <v>420</v>
      </c>
      <c r="I262" s="12">
        <v>44287</v>
      </c>
      <c r="J262" s="12"/>
      <c r="K262" s="12">
        <v>44651</v>
      </c>
      <c r="L262" s="51">
        <v>62300</v>
      </c>
      <c r="M262" s="51">
        <v>-62300</v>
      </c>
      <c r="N262" s="52" t="s">
        <v>29</v>
      </c>
    </row>
    <row r="263" spans="1:14">
      <c r="A263" t="s">
        <v>19</v>
      </c>
      <c r="B263" s="6">
        <v>12280</v>
      </c>
      <c r="C263" s="2" t="s">
        <v>403</v>
      </c>
      <c r="D263" s="6">
        <v>219748</v>
      </c>
      <c r="E263" s="47">
        <v>44075</v>
      </c>
      <c r="F263" t="s">
        <v>396</v>
      </c>
      <c r="G263" s="113">
        <v>930400</v>
      </c>
      <c r="H263" s="62" t="s">
        <v>335</v>
      </c>
      <c r="I263" s="12">
        <v>44008</v>
      </c>
      <c r="J263" s="12"/>
      <c r="K263" s="12">
        <v>47514</v>
      </c>
      <c r="L263" s="67">
        <v>130500</v>
      </c>
      <c r="M263" s="51">
        <f>-130500-54095</f>
        <v>-184595</v>
      </c>
      <c r="N263" s="52" t="s">
        <v>111</v>
      </c>
    </row>
    <row r="264" spans="1:14">
      <c r="A264" t="s">
        <v>19</v>
      </c>
      <c r="B264" s="6">
        <v>12280</v>
      </c>
      <c r="C264" s="2" t="s">
        <v>403</v>
      </c>
      <c r="D264" s="6">
        <v>220143</v>
      </c>
      <c r="E264" s="47">
        <v>44173</v>
      </c>
      <c r="F264" t="s">
        <v>421</v>
      </c>
      <c r="G264" s="113">
        <v>927829</v>
      </c>
      <c r="H264" s="62" t="s">
        <v>422</v>
      </c>
      <c r="I264" s="12">
        <v>43952</v>
      </c>
      <c r="J264" s="12"/>
      <c r="K264" s="12">
        <v>44317</v>
      </c>
      <c r="L264" s="51">
        <v>20000</v>
      </c>
      <c r="M264" s="51">
        <f>-20000+20000-15000+15000</f>
        <v>0</v>
      </c>
      <c r="N264" s="52" t="s">
        <v>423</v>
      </c>
    </row>
    <row r="265" spans="1:14">
      <c r="A265" t="s">
        <v>19</v>
      </c>
      <c r="B265" s="6">
        <v>12280</v>
      </c>
      <c r="C265" s="2" t="s">
        <v>403</v>
      </c>
      <c r="D265" s="6">
        <v>221175</v>
      </c>
      <c r="E265" s="47">
        <v>44301</v>
      </c>
      <c r="F265" t="s">
        <v>424</v>
      </c>
      <c r="G265" s="113">
        <v>934236</v>
      </c>
      <c r="H265" s="62"/>
      <c r="I265" s="12"/>
      <c r="J265" s="12"/>
      <c r="K265" s="12" t="s">
        <v>129</v>
      </c>
      <c r="L265" s="51">
        <v>25000</v>
      </c>
      <c r="M265" s="51">
        <f>-25000+25000</f>
        <v>0</v>
      </c>
      <c r="N265" s="52"/>
    </row>
    <row r="266" spans="1:14">
      <c r="A266" t="s">
        <v>19</v>
      </c>
      <c r="B266" s="6">
        <v>12280</v>
      </c>
      <c r="C266" s="2" t="s">
        <v>403</v>
      </c>
      <c r="D266" s="6">
        <v>221176</v>
      </c>
      <c r="E266" s="47">
        <v>44301</v>
      </c>
      <c r="F266" t="s">
        <v>425</v>
      </c>
      <c r="G266" s="113">
        <v>934133</v>
      </c>
      <c r="H266" s="62"/>
      <c r="I266" s="53"/>
      <c r="J266" s="53"/>
      <c r="K266" s="12" t="s">
        <v>129</v>
      </c>
      <c r="L266" s="51">
        <v>36000</v>
      </c>
      <c r="M266" s="51">
        <f>-36000+36000</f>
        <v>0</v>
      </c>
      <c r="N266" s="52"/>
    </row>
    <row r="267" spans="1:14" ht="12.6" customHeight="1">
      <c r="A267" t="s">
        <v>19</v>
      </c>
      <c r="B267" s="6">
        <v>12280</v>
      </c>
      <c r="C267" s="2" t="s">
        <v>403</v>
      </c>
      <c r="D267" s="6">
        <v>221618</v>
      </c>
      <c r="E267" s="4">
        <v>44317</v>
      </c>
      <c r="F267" s="1" t="s">
        <v>196</v>
      </c>
      <c r="G267" s="113">
        <v>932498</v>
      </c>
      <c r="H267" s="71"/>
      <c r="I267" s="72"/>
      <c r="J267" s="72"/>
      <c r="K267" s="12" t="s">
        <v>129</v>
      </c>
      <c r="L267" s="51">
        <v>521314</v>
      </c>
      <c r="M267" s="51">
        <f>-508750+469182.6-12564+52131.4</f>
        <v>0</v>
      </c>
      <c r="N267" s="52"/>
    </row>
    <row r="268" spans="1:14">
      <c r="A268" t="s">
        <v>19</v>
      </c>
      <c r="B268" s="6">
        <v>12280</v>
      </c>
      <c r="C268" s="2" t="s">
        <v>403</v>
      </c>
      <c r="D268" s="6">
        <v>222471</v>
      </c>
      <c r="E268" s="4">
        <v>44470</v>
      </c>
      <c r="F268" s="1" t="s">
        <v>36</v>
      </c>
      <c r="G268" s="113">
        <v>936139</v>
      </c>
      <c r="H268" s="71">
        <v>2005</v>
      </c>
      <c r="I268" s="72">
        <v>44730</v>
      </c>
      <c r="J268" s="72"/>
      <c r="K268" s="12">
        <v>45094</v>
      </c>
      <c r="L268" s="51">
        <v>412500</v>
      </c>
      <c r="M268" s="51">
        <v>-412500</v>
      </c>
      <c r="N268" s="52" t="s">
        <v>29</v>
      </c>
    </row>
    <row r="269" spans="1:14">
      <c r="A269" t="s">
        <v>19</v>
      </c>
      <c r="B269" s="6">
        <v>12280</v>
      </c>
      <c r="C269" s="2" t="s">
        <v>403</v>
      </c>
      <c r="D269" s="6">
        <v>222646</v>
      </c>
      <c r="E269" s="4">
        <v>44470</v>
      </c>
      <c r="F269" s="1" t="s">
        <v>426</v>
      </c>
      <c r="G269" s="113">
        <v>930730</v>
      </c>
      <c r="H269" s="71" t="s">
        <v>427</v>
      </c>
      <c r="I269" s="72">
        <v>44316</v>
      </c>
      <c r="J269" s="72"/>
      <c r="K269" s="12">
        <v>44680</v>
      </c>
      <c r="L269" s="51">
        <v>150000</v>
      </c>
      <c r="M269" s="51">
        <f>-150000+107812.38+42187.62</f>
        <v>0</v>
      </c>
      <c r="N269" s="52" t="s">
        <v>29</v>
      </c>
    </row>
    <row r="270" spans="1:14">
      <c r="A270" t="s">
        <v>19</v>
      </c>
      <c r="B270" s="6">
        <v>12280</v>
      </c>
      <c r="C270" s="2" t="s">
        <v>403</v>
      </c>
      <c r="D270" s="6">
        <v>222740</v>
      </c>
      <c r="E270" s="4">
        <v>44489</v>
      </c>
      <c r="F270" s="1" t="s">
        <v>428</v>
      </c>
      <c r="G270" s="113">
        <v>936690</v>
      </c>
      <c r="H270" s="71" t="s">
        <v>429</v>
      </c>
      <c r="I270" s="72">
        <v>44651</v>
      </c>
      <c r="J270" s="72"/>
      <c r="K270" s="12">
        <v>45015</v>
      </c>
      <c r="L270" s="51">
        <v>325000</v>
      </c>
      <c r="M270" s="51">
        <v>-325000</v>
      </c>
      <c r="N270" s="52" t="s">
        <v>29</v>
      </c>
    </row>
    <row r="271" spans="1:14">
      <c r="A271" t="s">
        <v>19</v>
      </c>
      <c r="B271" s="6">
        <v>12280</v>
      </c>
      <c r="C271" s="2" t="s">
        <v>403</v>
      </c>
      <c r="D271" s="6">
        <v>223095</v>
      </c>
      <c r="E271" s="4">
        <v>44562</v>
      </c>
      <c r="F271" s="1" t="s">
        <v>430</v>
      </c>
      <c r="G271" s="113">
        <v>937238</v>
      </c>
      <c r="H271" s="71">
        <v>2220</v>
      </c>
      <c r="I271" s="72"/>
      <c r="J271" s="72"/>
      <c r="K271" s="12" t="s">
        <v>129</v>
      </c>
      <c r="L271" s="51">
        <v>511992</v>
      </c>
      <c r="M271" s="51">
        <v>-511992</v>
      </c>
      <c r="N271" s="52"/>
    </row>
    <row r="272" spans="1:14">
      <c r="A272" t="s">
        <v>19</v>
      </c>
      <c r="B272" s="6">
        <v>12280</v>
      </c>
      <c r="C272" s="2" t="s">
        <v>403</v>
      </c>
      <c r="D272" s="6">
        <v>223096</v>
      </c>
      <c r="E272" s="4">
        <v>44562</v>
      </c>
      <c r="F272" s="1" t="s">
        <v>201</v>
      </c>
      <c r="G272" s="113">
        <v>937019</v>
      </c>
      <c r="H272" s="71" t="s">
        <v>248</v>
      </c>
      <c r="I272" s="72"/>
      <c r="J272" s="72"/>
      <c r="K272" s="12" t="s">
        <v>129</v>
      </c>
      <c r="L272" s="51">
        <v>244700</v>
      </c>
      <c r="M272" s="51">
        <v>-244700</v>
      </c>
      <c r="N272" s="52"/>
    </row>
    <row r="273" spans="1:14">
      <c r="A273" t="s">
        <v>19</v>
      </c>
      <c r="B273" s="6">
        <v>12280</v>
      </c>
      <c r="C273" s="2" t="s">
        <v>403</v>
      </c>
      <c r="D273" s="6">
        <v>223543</v>
      </c>
      <c r="E273" s="4">
        <v>44562</v>
      </c>
      <c r="F273" s="1" t="s">
        <v>319</v>
      </c>
      <c r="G273" s="113">
        <v>937587</v>
      </c>
      <c r="H273" s="71" t="s">
        <v>431</v>
      </c>
      <c r="I273" s="72"/>
      <c r="J273" s="72"/>
      <c r="K273" s="12" t="s">
        <v>129</v>
      </c>
      <c r="L273" s="51">
        <v>25000</v>
      </c>
      <c r="M273" s="51">
        <v>-25000</v>
      </c>
      <c r="N273" s="52"/>
    </row>
    <row r="274" spans="1:14">
      <c r="A274" t="s">
        <v>19</v>
      </c>
      <c r="B274" s="6">
        <v>12280</v>
      </c>
      <c r="C274" s="2" t="s">
        <v>403</v>
      </c>
      <c r="D274" s="6">
        <v>223567</v>
      </c>
      <c r="E274" s="4">
        <v>44593</v>
      </c>
      <c r="F274" s="1" t="s">
        <v>432</v>
      </c>
      <c r="G274" s="113">
        <v>937239</v>
      </c>
      <c r="H274" s="71"/>
      <c r="I274" s="72"/>
      <c r="J274" s="72"/>
      <c r="K274" s="12" t="s">
        <v>129</v>
      </c>
      <c r="L274" s="51">
        <v>150000</v>
      </c>
      <c r="M274" s="51">
        <v>-150000</v>
      </c>
      <c r="N274" s="52"/>
    </row>
    <row r="275" spans="1:14">
      <c r="A275" t="s">
        <v>19</v>
      </c>
      <c r="B275" s="6">
        <v>12280</v>
      </c>
      <c r="C275" s="2" t="s">
        <v>403</v>
      </c>
      <c r="D275" s="6">
        <v>223682</v>
      </c>
      <c r="E275" s="4">
        <v>44593</v>
      </c>
      <c r="F275" s="1" t="s">
        <v>433</v>
      </c>
      <c r="G275" s="113">
        <v>938047</v>
      </c>
      <c r="H275" s="71"/>
      <c r="I275" s="72"/>
      <c r="J275" s="72"/>
      <c r="K275" s="12" t="s">
        <v>129</v>
      </c>
      <c r="L275" s="51">
        <v>109050</v>
      </c>
      <c r="M275" s="51">
        <v>-109050</v>
      </c>
      <c r="N275" s="52"/>
    </row>
    <row r="276" spans="1:14">
      <c r="A276" t="s">
        <v>19</v>
      </c>
      <c r="B276" s="6">
        <v>12280</v>
      </c>
      <c r="C276" s="2" t="s">
        <v>403</v>
      </c>
      <c r="D276" s="6">
        <v>223685</v>
      </c>
      <c r="E276" s="4">
        <v>44593</v>
      </c>
      <c r="F276" s="1" t="s">
        <v>434</v>
      </c>
      <c r="G276" s="113">
        <v>938054</v>
      </c>
      <c r="H276" s="71"/>
      <c r="I276" s="72"/>
      <c r="J276" s="72"/>
      <c r="K276" s="12" t="s">
        <v>129</v>
      </c>
      <c r="L276" s="51">
        <v>184257.08</v>
      </c>
      <c r="M276" s="51">
        <v>-184257.08</v>
      </c>
      <c r="N276" s="52"/>
    </row>
    <row r="277" spans="1:14">
      <c r="A277" t="s">
        <v>19</v>
      </c>
      <c r="B277" s="6">
        <v>12294</v>
      </c>
      <c r="C277" s="2" t="s">
        <v>435</v>
      </c>
      <c r="D277" s="6">
        <v>223114</v>
      </c>
      <c r="E277" s="4">
        <v>44592</v>
      </c>
      <c r="F277" s="1" t="s">
        <v>42</v>
      </c>
      <c r="G277" s="113">
        <v>937656</v>
      </c>
      <c r="H277" s="71" t="s">
        <v>436</v>
      </c>
      <c r="I277" s="72"/>
      <c r="J277" s="72"/>
      <c r="K277" s="12" t="s">
        <v>129</v>
      </c>
      <c r="L277" s="51"/>
      <c r="M277" s="51">
        <v>-50000</v>
      </c>
      <c r="N277" s="52"/>
    </row>
    <row r="278" spans="1:14">
      <c r="A278" t="s">
        <v>117</v>
      </c>
      <c r="B278" s="6">
        <v>12281</v>
      </c>
      <c r="C278" s="2" t="s">
        <v>437</v>
      </c>
      <c r="D278" s="6">
        <v>137873</v>
      </c>
      <c r="E278" s="4">
        <v>42004</v>
      </c>
      <c r="F278" s="1" t="s">
        <v>438</v>
      </c>
      <c r="G278" s="113">
        <v>907515</v>
      </c>
      <c r="H278" s="71">
        <v>61</v>
      </c>
      <c r="I278" s="72">
        <v>42110</v>
      </c>
      <c r="J278" s="72"/>
      <c r="K278" s="12">
        <v>46053</v>
      </c>
      <c r="L278" s="51">
        <v>100000</v>
      </c>
      <c r="M278" s="51">
        <f>-100000+100000</f>
        <v>0</v>
      </c>
      <c r="N278" s="52" t="s">
        <v>270</v>
      </c>
    </row>
    <row r="279" spans="1:14" ht="26.25">
      <c r="A279" t="s">
        <v>19</v>
      </c>
      <c r="B279" s="6">
        <v>12285</v>
      </c>
      <c r="C279" s="2" t="s">
        <v>439</v>
      </c>
      <c r="D279" s="6">
        <v>197302</v>
      </c>
      <c r="E279" s="4">
        <v>43480</v>
      </c>
      <c r="F279" s="1" t="s">
        <v>21</v>
      </c>
      <c r="G279" s="113">
        <v>926556</v>
      </c>
      <c r="H279" s="71" t="s">
        <v>440</v>
      </c>
      <c r="I279" s="72">
        <v>43402</v>
      </c>
      <c r="J279" s="72"/>
      <c r="K279" s="12">
        <v>43767</v>
      </c>
      <c r="L279" s="51">
        <v>50000</v>
      </c>
      <c r="M279" s="51">
        <f>-50000-50000+50000</f>
        <v>-50000</v>
      </c>
      <c r="N279" s="73" t="s">
        <v>441</v>
      </c>
    </row>
    <row r="280" spans="1:14" ht="26.25">
      <c r="A280" t="s">
        <v>19</v>
      </c>
      <c r="B280" s="6">
        <v>12285</v>
      </c>
      <c r="C280" s="2" t="s">
        <v>439</v>
      </c>
      <c r="D280" s="6">
        <v>197703</v>
      </c>
      <c r="E280" s="4">
        <v>43509</v>
      </c>
      <c r="F280" s="1" t="s">
        <v>442</v>
      </c>
      <c r="G280" s="113">
        <v>924528</v>
      </c>
      <c r="H280" s="71" t="s">
        <v>443</v>
      </c>
      <c r="I280" s="72">
        <v>43405</v>
      </c>
      <c r="J280" s="72"/>
      <c r="K280" s="12">
        <v>43770</v>
      </c>
      <c r="L280" s="51">
        <v>600000</v>
      </c>
      <c r="M280" s="51">
        <f>-600000+200000+200000</f>
        <v>-200000</v>
      </c>
      <c r="N280" s="73" t="s">
        <v>444</v>
      </c>
    </row>
    <row r="281" spans="1:14">
      <c r="A281" t="s">
        <v>19</v>
      </c>
      <c r="B281" s="6">
        <v>12285</v>
      </c>
      <c r="C281" s="2" t="s">
        <v>439</v>
      </c>
      <c r="D281" s="6">
        <v>222806</v>
      </c>
      <c r="E281" s="4">
        <v>44501</v>
      </c>
      <c r="F281" s="1" t="s">
        <v>445</v>
      </c>
      <c r="G281" s="113">
        <v>934739</v>
      </c>
      <c r="H281" s="71" t="s">
        <v>446</v>
      </c>
      <c r="I281" s="72"/>
      <c r="J281" s="72"/>
      <c r="K281" s="12">
        <v>44378</v>
      </c>
      <c r="L281" s="51">
        <v>45107</v>
      </c>
      <c r="M281" s="51">
        <f>-439509.95+439509.95</f>
        <v>0</v>
      </c>
      <c r="N281" s="73" t="s">
        <v>175</v>
      </c>
    </row>
    <row r="282" spans="1:14" ht="26.25">
      <c r="A282" t="s">
        <v>19</v>
      </c>
      <c r="B282" s="6">
        <v>12285</v>
      </c>
      <c r="C282" s="2" t="s">
        <v>439</v>
      </c>
      <c r="D282" s="6">
        <v>211119</v>
      </c>
      <c r="E282" s="4">
        <v>43655</v>
      </c>
      <c r="F282" s="1" t="s">
        <v>447</v>
      </c>
      <c r="G282" s="113">
        <v>927913</v>
      </c>
      <c r="H282" s="71" t="s">
        <v>448</v>
      </c>
      <c r="I282" s="72">
        <v>44237</v>
      </c>
      <c r="J282" s="72"/>
      <c r="K282" s="12">
        <v>44967</v>
      </c>
      <c r="L282" s="51">
        <v>650000</v>
      </c>
      <c r="M282" s="51">
        <f>-650000+154398.33+62273.79+433327.88</f>
        <v>0</v>
      </c>
      <c r="N282" s="73" t="s">
        <v>449</v>
      </c>
    </row>
    <row r="283" spans="1:14">
      <c r="A283" t="s">
        <v>19</v>
      </c>
      <c r="B283" s="6">
        <v>12285</v>
      </c>
      <c r="C283" s="2" t="s">
        <v>439</v>
      </c>
      <c r="D283" s="6">
        <v>223558</v>
      </c>
      <c r="E283" s="4">
        <v>44587</v>
      </c>
      <c r="F283" s="1" t="s">
        <v>450</v>
      </c>
      <c r="G283" s="113">
        <v>71292</v>
      </c>
      <c r="H283" s="71" t="s">
        <v>451</v>
      </c>
      <c r="I283" s="72"/>
      <c r="J283" s="72"/>
      <c r="K283" s="12"/>
      <c r="L283" s="51">
        <v>50000</v>
      </c>
      <c r="M283" s="51">
        <f>25408.96-50000</f>
        <v>-24591.040000000001</v>
      </c>
      <c r="N283" s="73"/>
    </row>
    <row r="284" spans="1:14">
      <c r="A284" t="s">
        <v>19</v>
      </c>
      <c r="B284" s="6">
        <v>12286</v>
      </c>
      <c r="C284" s="2" t="s">
        <v>452</v>
      </c>
      <c r="D284" s="6">
        <v>131001</v>
      </c>
      <c r="E284" s="4">
        <v>41973</v>
      </c>
      <c r="F284" s="1" t="s">
        <v>196</v>
      </c>
      <c r="G284" s="113">
        <v>905693</v>
      </c>
      <c r="H284" s="71">
        <v>748</v>
      </c>
      <c r="I284" s="72">
        <v>41942</v>
      </c>
      <c r="J284" s="72"/>
      <c r="K284" s="12">
        <v>45688</v>
      </c>
      <c r="L284" s="51">
        <v>228375</v>
      </c>
      <c r="M284" s="51">
        <f>-228375+205537.5</f>
        <v>-22837.5</v>
      </c>
      <c r="N284" s="52" t="s">
        <v>270</v>
      </c>
    </row>
    <row r="285" spans="1:14" ht="38.1" customHeight="1">
      <c r="A285" t="s">
        <v>19</v>
      </c>
      <c r="B285" s="6">
        <v>12286</v>
      </c>
      <c r="C285" s="2" t="s">
        <v>452</v>
      </c>
      <c r="D285" s="6">
        <v>165567</v>
      </c>
      <c r="E285" s="4">
        <v>42534</v>
      </c>
      <c r="F285" s="1" t="s">
        <v>453</v>
      </c>
      <c r="G285" s="113">
        <v>52594</v>
      </c>
      <c r="H285" s="71">
        <v>9075</v>
      </c>
      <c r="I285" s="72">
        <v>42217</v>
      </c>
      <c r="J285" s="72"/>
      <c r="K285" s="12">
        <v>42582</v>
      </c>
      <c r="L285" s="51">
        <v>7500</v>
      </c>
      <c r="M285" s="51">
        <f>-7500+7500-7500+2500</f>
        <v>-5000</v>
      </c>
      <c r="N285" s="52" t="s">
        <v>454</v>
      </c>
    </row>
    <row r="286" spans="1:14">
      <c r="A286" t="s">
        <v>19</v>
      </c>
      <c r="B286" s="6">
        <v>12286</v>
      </c>
      <c r="C286" s="2" t="s">
        <v>452</v>
      </c>
      <c r="D286" s="6">
        <v>184867</v>
      </c>
      <c r="E286" s="4">
        <v>42870</v>
      </c>
      <c r="F286" s="1" t="s">
        <v>455</v>
      </c>
      <c r="G286" s="113">
        <v>918497</v>
      </c>
      <c r="H286" s="71">
        <v>1130</v>
      </c>
      <c r="I286" s="72">
        <v>42874</v>
      </c>
      <c r="J286" s="72"/>
      <c r="K286" s="12">
        <v>43238</v>
      </c>
      <c r="L286" s="51">
        <v>100000</v>
      </c>
      <c r="M286" s="51">
        <f>-100000+50000+50000</f>
        <v>0</v>
      </c>
      <c r="N286" s="59"/>
    </row>
    <row r="287" spans="1:14">
      <c r="A287" t="s">
        <v>19</v>
      </c>
      <c r="B287" s="6">
        <v>12286</v>
      </c>
      <c r="C287" s="2" t="s">
        <v>452</v>
      </c>
      <c r="D287" s="6">
        <v>191233</v>
      </c>
      <c r="E287" s="4">
        <v>43208</v>
      </c>
      <c r="F287" s="1" t="s">
        <v>191</v>
      </c>
      <c r="G287" s="113">
        <v>35624</v>
      </c>
      <c r="H287" s="71">
        <v>1550</v>
      </c>
      <c r="I287" s="72">
        <v>43982</v>
      </c>
      <c r="J287" s="72"/>
      <c r="K287" s="12">
        <v>44957</v>
      </c>
      <c r="L287" s="51">
        <v>499500</v>
      </c>
      <c r="M287" s="51">
        <v>-499500</v>
      </c>
      <c r="N287" s="52" t="s">
        <v>456</v>
      </c>
    </row>
    <row r="288" spans="1:14">
      <c r="A288" s="1" t="s">
        <v>19</v>
      </c>
      <c r="B288" s="6">
        <v>12286</v>
      </c>
      <c r="C288" s="2" t="s">
        <v>452</v>
      </c>
      <c r="D288" s="75">
        <v>191234</v>
      </c>
      <c r="E288" s="53">
        <v>43208</v>
      </c>
      <c r="F288" s="1" t="s">
        <v>457</v>
      </c>
      <c r="G288" s="113">
        <v>923414</v>
      </c>
      <c r="H288" s="62">
        <v>1545</v>
      </c>
      <c r="I288" s="12">
        <v>43370</v>
      </c>
      <c r="J288" s="12"/>
      <c r="K288" s="12">
        <v>46996</v>
      </c>
      <c r="L288" s="51">
        <v>344325</v>
      </c>
      <c r="M288" s="51">
        <f>-344325+114775+114775+114775</f>
        <v>0</v>
      </c>
      <c r="N288" s="52" t="s">
        <v>35</v>
      </c>
    </row>
    <row r="289" spans="1:14">
      <c r="A289" t="s">
        <v>19</v>
      </c>
      <c r="B289" s="6">
        <v>12286</v>
      </c>
      <c r="C289" s="2" t="s">
        <v>452</v>
      </c>
      <c r="D289" s="6">
        <v>194932</v>
      </c>
      <c r="E289" s="47">
        <v>43343</v>
      </c>
      <c r="F289" t="s">
        <v>458</v>
      </c>
      <c r="G289" s="113">
        <v>923996</v>
      </c>
      <c r="H289" s="62">
        <v>1025</v>
      </c>
      <c r="I289" s="12">
        <v>43282</v>
      </c>
      <c r="J289" s="12"/>
      <c r="K289" s="12">
        <v>43646</v>
      </c>
      <c r="L289" s="51">
        <v>148000</v>
      </c>
      <c r="M289" s="51">
        <f>-148000+148000</f>
        <v>0</v>
      </c>
      <c r="N289" s="52" t="s">
        <v>29</v>
      </c>
    </row>
    <row r="290" spans="1:14" ht="26.25">
      <c r="A290" s="1" t="s">
        <v>19</v>
      </c>
      <c r="B290" s="6">
        <v>12286</v>
      </c>
      <c r="C290" s="2" t="s">
        <v>452</v>
      </c>
      <c r="D290" s="6">
        <v>198023</v>
      </c>
      <c r="E290" s="53">
        <v>43553</v>
      </c>
      <c r="F290" t="s">
        <v>459</v>
      </c>
      <c r="G290" s="113">
        <v>927039</v>
      </c>
      <c r="H290" s="62">
        <v>724</v>
      </c>
      <c r="I290" s="12">
        <v>43647</v>
      </c>
      <c r="J290" s="12"/>
      <c r="K290" s="12">
        <v>44012</v>
      </c>
      <c r="L290" s="51">
        <v>75000</v>
      </c>
      <c r="M290" s="51">
        <f>-75000+53622.91</f>
        <v>-21377.089999999997</v>
      </c>
      <c r="N290" s="52" t="s">
        <v>460</v>
      </c>
    </row>
    <row r="291" spans="1:14">
      <c r="A291" s="1" t="s">
        <v>19</v>
      </c>
      <c r="B291" s="6">
        <v>12286</v>
      </c>
      <c r="C291" s="2" t="s">
        <v>452</v>
      </c>
      <c r="D291" s="6">
        <v>213090</v>
      </c>
      <c r="E291" s="47">
        <v>43754</v>
      </c>
      <c r="F291" t="s">
        <v>156</v>
      </c>
      <c r="G291" s="113">
        <v>928933</v>
      </c>
      <c r="H291" s="62">
        <v>408</v>
      </c>
      <c r="I291" s="53">
        <v>43734</v>
      </c>
      <c r="J291" s="53"/>
      <c r="K291" s="12"/>
      <c r="L291" s="51">
        <v>175000</v>
      </c>
      <c r="M291" s="51">
        <f>-175000+157500+17500</f>
        <v>0</v>
      </c>
      <c r="N291" s="52" t="s">
        <v>35</v>
      </c>
    </row>
    <row r="292" spans="1:14" ht="13.5" customHeight="1">
      <c r="A292" s="1" t="s">
        <v>19</v>
      </c>
      <c r="B292" s="6">
        <v>12286</v>
      </c>
      <c r="C292" s="2" t="s">
        <v>452</v>
      </c>
      <c r="D292" s="6">
        <v>214670</v>
      </c>
      <c r="E292" s="47">
        <v>43801</v>
      </c>
      <c r="F292" t="s">
        <v>461</v>
      </c>
      <c r="G292" s="113">
        <v>214670</v>
      </c>
      <c r="H292" s="62">
        <v>532</v>
      </c>
      <c r="I292" s="53">
        <v>43709</v>
      </c>
      <c r="J292" s="53"/>
      <c r="K292" s="12">
        <v>44256</v>
      </c>
      <c r="L292" s="51">
        <v>200000</v>
      </c>
      <c r="M292" s="51">
        <f>-200000+200000-19021.53</f>
        <v>-19021.53</v>
      </c>
      <c r="N292" s="52" t="s">
        <v>462</v>
      </c>
    </row>
    <row r="293" spans="1:14" ht="12.75" customHeight="1">
      <c r="A293" t="s">
        <v>19</v>
      </c>
      <c r="B293" s="6">
        <v>12286</v>
      </c>
      <c r="C293" s="2" t="s">
        <v>452</v>
      </c>
      <c r="D293" s="6">
        <v>214675</v>
      </c>
      <c r="E293" s="47">
        <v>43801</v>
      </c>
      <c r="F293" t="s">
        <v>152</v>
      </c>
      <c r="G293" s="113">
        <v>214675</v>
      </c>
      <c r="H293" s="62">
        <v>1440</v>
      </c>
      <c r="I293" s="12">
        <v>43784</v>
      </c>
      <c r="J293" s="12"/>
      <c r="K293" s="12">
        <v>44150</v>
      </c>
      <c r="L293" s="51">
        <v>299480</v>
      </c>
      <c r="M293" s="51">
        <f>-299480+229480+70000</f>
        <v>0</v>
      </c>
      <c r="N293" s="52" t="s">
        <v>29</v>
      </c>
    </row>
    <row r="294" spans="1:14">
      <c r="A294" t="s">
        <v>19</v>
      </c>
      <c r="B294" s="6">
        <v>12286</v>
      </c>
      <c r="C294" s="2" t="s">
        <v>452</v>
      </c>
      <c r="D294" s="6">
        <v>215401</v>
      </c>
      <c r="E294" s="47">
        <v>43872</v>
      </c>
      <c r="F294" t="s">
        <v>463</v>
      </c>
      <c r="G294" s="113">
        <v>920001</v>
      </c>
      <c r="H294" s="62">
        <v>2179</v>
      </c>
      <c r="I294" s="53">
        <v>43854</v>
      </c>
      <c r="J294" s="53"/>
      <c r="K294" s="12">
        <v>44220</v>
      </c>
      <c r="L294" s="51">
        <v>62568</v>
      </c>
      <c r="M294" s="51">
        <f>-62568+11692.55+45419.79</f>
        <v>-5455.6599999999962</v>
      </c>
      <c r="N294" s="52" t="s">
        <v>29</v>
      </c>
    </row>
    <row r="295" spans="1:14">
      <c r="A295" t="s">
        <v>19</v>
      </c>
      <c r="B295" s="6">
        <v>12286</v>
      </c>
      <c r="C295" s="2" t="s">
        <v>452</v>
      </c>
      <c r="D295" s="6">
        <v>197785</v>
      </c>
      <c r="E295" s="47">
        <v>43890</v>
      </c>
      <c r="F295" t="s">
        <v>464</v>
      </c>
      <c r="G295" s="113">
        <v>37208</v>
      </c>
      <c r="H295" s="62">
        <v>1123</v>
      </c>
      <c r="I295" s="53">
        <v>43497</v>
      </c>
      <c r="J295" s="53"/>
      <c r="K295" s="12">
        <v>43861</v>
      </c>
      <c r="L295" s="51">
        <v>100000</v>
      </c>
      <c r="M295" s="51">
        <v>-100000</v>
      </c>
      <c r="N295" s="52" t="s">
        <v>29</v>
      </c>
    </row>
    <row r="296" spans="1:14">
      <c r="A296" t="s">
        <v>19</v>
      </c>
      <c r="B296" s="6">
        <v>12286</v>
      </c>
      <c r="C296" s="2" t="s">
        <v>452</v>
      </c>
      <c r="D296" s="6">
        <v>158063</v>
      </c>
      <c r="E296" s="47">
        <v>44305</v>
      </c>
      <c r="F296" t="s">
        <v>465</v>
      </c>
      <c r="G296" s="113">
        <v>38368</v>
      </c>
      <c r="H296" s="62">
        <v>1220</v>
      </c>
      <c r="I296" s="53"/>
      <c r="J296" s="53"/>
      <c r="K296" s="12" t="s">
        <v>129</v>
      </c>
      <c r="L296" s="51">
        <v>50000</v>
      </c>
      <c r="M296" s="51">
        <f>50000-50000</f>
        <v>0</v>
      </c>
      <c r="N296" s="60"/>
    </row>
    <row r="297" spans="1:14">
      <c r="A297" t="s">
        <v>19</v>
      </c>
      <c r="B297" s="6">
        <v>12286</v>
      </c>
      <c r="C297" s="2" t="s">
        <v>452</v>
      </c>
      <c r="D297" s="6">
        <v>220345</v>
      </c>
      <c r="E297" s="47">
        <v>44312</v>
      </c>
      <c r="F297" t="s">
        <v>466</v>
      </c>
      <c r="G297" s="113">
        <v>931474</v>
      </c>
      <c r="H297" s="62">
        <v>676</v>
      </c>
      <c r="I297" s="53"/>
      <c r="J297" s="53"/>
      <c r="K297" s="12" t="s">
        <v>129</v>
      </c>
      <c r="L297" s="51">
        <v>550000</v>
      </c>
      <c r="M297" s="51">
        <f>550000-550000</f>
        <v>0</v>
      </c>
      <c r="N297" s="60"/>
    </row>
    <row r="298" spans="1:14">
      <c r="A298" t="s">
        <v>19</v>
      </c>
      <c r="B298" s="6">
        <v>12286</v>
      </c>
      <c r="C298" s="2" t="s">
        <v>452</v>
      </c>
      <c r="D298" s="6">
        <v>221906</v>
      </c>
      <c r="E298" s="47">
        <v>44469</v>
      </c>
      <c r="F298" t="s">
        <v>467</v>
      </c>
      <c r="G298" s="113">
        <v>928995</v>
      </c>
      <c r="H298" s="62">
        <v>588</v>
      </c>
      <c r="I298" s="53">
        <v>43862</v>
      </c>
      <c r="J298" s="53"/>
      <c r="K298" s="12">
        <v>44227</v>
      </c>
      <c r="L298" s="51">
        <v>58000</v>
      </c>
      <c r="M298" s="51">
        <f>-58000+58000-58000+58000</f>
        <v>0</v>
      </c>
      <c r="N298" s="52" t="s">
        <v>29</v>
      </c>
    </row>
    <row r="299" spans="1:14">
      <c r="A299" t="s">
        <v>19</v>
      </c>
      <c r="B299" s="6">
        <v>12286</v>
      </c>
      <c r="C299" s="2" t="s">
        <v>452</v>
      </c>
      <c r="D299" s="6">
        <v>221199</v>
      </c>
      <c r="E299" s="47">
        <v>44561</v>
      </c>
      <c r="F299" t="s">
        <v>468</v>
      </c>
      <c r="G299" s="113">
        <v>38539</v>
      </c>
      <c r="H299" s="62">
        <v>1545</v>
      </c>
      <c r="I299" s="53"/>
      <c r="J299" s="53"/>
      <c r="K299" s="12" t="s">
        <v>129</v>
      </c>
      <c r="L299" s="51">
        <v>137730</v>
      </c>
      <c r="M299" s="51">
        <f>137730-137730</f>
        <v>0</v>
      </c>
      <c r="N299" s="60"/>
    </row>
    <row r="300" spans="1:14">
      <c r="A300" t="s">
        <v>19</v>
      </c>
      <c r="B300" s="6">
        <v>12286</v>
      </c>
      <c r="C300" s="2" t="s">
        <v>452</v>
      </c>
      <c r="D300" s="6">
        <v>222992</v>
      </c>
      <c r="E300" s="47">
        <v>44561</v>
      </c>
      <c r="F300" t="s">
        <v>469</v>
      </c>
      <c r="G300" s="113">
        <v>932024</v>
      </c>
      <c r="H300" s="62">
        <v>2120</v>
      </c>
      <c r="I300" s="53">
        <v>44228</v>
      </c>
      <c r="J300" s="53"/>
      <c r="K300" s="12" t="s">
        <v>129</v>
      </c>
      <c r="L300" s="51"/>
      <c r="M300" s="51">
        <f>-517140+517140</f>
        <v>0</v>
      </c>
      <c r="N300" s="60"/>
    </row>
    <row r="301" spans="1:14" ht="26.25">
      <c r="A301" t="s">
        <v>19</v>
      </c>
      <c r="B301" s="6">
        <v>12286</v>
      </c>
      <c r="C301" s="2" t="s">
        <v>452</v>
      </c>
      <c r="D301" s="6">
        <v>222993</v>
      </c>
      <c r="E301" s="47">
        <v>44561</v>
      </c>
      <c r="F301" t="s">
        <v>470</v>
      </c>
      <c r="G301" s="113">
        <v>934787</v>
      </c>
      <c r="H301" s="62">
        <v>580</v>
      </c>
      <c r="I301" s="53">
        <v>44348</v>
      </c>
      <c r="J301" s="53"/>
      <c r="K301" s="12" t="s">
        <v>129</v>
      </c>
      <c r="L301" s="51">
        <v>20000</v>
      </c>
      <c r="M301" s="51">
        <v>-20000</v>
      </c>
      <c r="N301" s="60" t="s">
        <v>471</v>
      </c>
    </row>
    <row r="302" spans="1:14" ht="26.25">
      <c r="A302" t="s">
        <v>19</v>
      </c>
      <c r="B302" s="6">
        <v>12286</v>
      </c>
      <c r="C302" s="2" t="s">
        <v>452</v>
      </c>
      <c r="D302" s="6">
        <v>221202</v>
      </c>
      <c r="E302" s="47">
        <v>44536</v>
      </c>
      <c r="F302" t="s">
        <v>470</v>
      </c>
      <c r="G302" s="113">
        <v>934787</v>
      </c>
      <c r="H302" s="62">
        <v>580</v>
      </c>
      <c r="I302" s="53"/>
      <c r="J302" s="53"/>
      <c r="K302" s="12" t="s">
        <v>129</v>
      </c>
      <c r="L302" s="51"/>
      <c r="M302" s="51">
        <v>20000</v>
      </c>
      <c r="N302" s="60" t="s">
        <v>472</v>
      </c>
    </row>
    <row r="303" spans="1:14">
      <c r="A303" t="s">
        <v>19</v>
      </c>
      <c r="B303" s="6">
        <v>12286</v>
      </c>
      <c r="C303" s="2" t="s">
        <v>452</v>
      </c>
      <c r="D303" s="6">
        <v>222534</v>
      </c>
      <c r="E303" s="47">
        <v>44487</v>
      </c>
      <c r="F303" t="s">
        <v>473</v>
      </c>
      <c r="G303" s="113">
        <v>933796</v>
      </c>
      <c r="H303" s="62">
        <v>360</v>
      </c>
      <c r="I303" s="53">
        <v>44183</v>
      </c>
      <c r="J303" s="53"/>
      <c r="K303" s="12">
        <v>44697</v>
      </c>
      <c r="L303" s="51">
        <v>165000</v>
      </c>
      <c r="M303" s="51">
        <v>0</v>
      </c>
      <c r="N303" s="60"/>
    </row>
    <row r="304" spans="1:14">
      <c r="A304" t="s">
        <v>19</v>
      </c>
      <c r="B304" s="6">
        <v>12286</v>
      </c>
      <c r="C304" s="2" t="s">
        <v>452</v>
      </c>
      <c r="D304" s="6">
        <v>221201</v>
      </c>
      <c r="E304" s="47">
        <v>44573</v>
      </c>
      <c r="F304" t="s">
        <v>474</v>
      </c>
      <c r="G304" s="113">
        <v>934836</v>
      </c>
      <c r="H304" s="62" t="s">
        <v>200</v>
      </c>
      <c r="I304" s="53"/>
      <c r="J304" s="53"/>
      <c r="K304" s="12" t="s">
        <v>129</v>
      </c>
      <c r="L304" s="51"/>
      <c r="M304" s="51">
        <f>30000-30000</f>
        <v>0</v>
      </c>
      <c r="N304" s="52"/>
    </row>
    <row r="305" spans="1:14">
      <c r="A305" t="s">
        <v>19</v>
      </c>
      <c r="B305" s="6">
        <v>12286</v>
      </c>
      <c r="C305" s="2" t="s">
        <v>452</v>
      </c>
      <c r="D305" s="6">
        <v>223565</v>
      </c>
      <c r="E305" s="47">
        <v>44592</v>
      </c>
      <c r="F305" t="s">
        <v>42</v>
      </c>
      <c r="G305" s="113">
        <v>937941</v>
      </c>
      <c r="H305" s="62" t="s">
        <v>436</v>
      </c>
      <c r="I305" s="53">
        <v>44713</v>
      </c>
      <c r="J305" s="53"/>
      <c r="K305" s="12">
        <v>45443</v>
      </c>
      <c r="L305" s="51">
        <v>50000</v>
      </c>
      <c r="M305" s="51">
        <v>-50000</v>
      </c>
      <c r="N305" s="60"/>
    </row>
    <row r="306" spans="1:14">
      <c r="A306" t="s">
        <v>19</v>
      </c>
      <c r="B306" s="6">
        <v>12286</v>
      </c>
      <c r="C306" s="2" t="s">
        <v>452</v>
      </c>
      <c r="D306" s="6">
        <v>221228</v>
      </c>
      <c r="E306" s="47">
        <v>44651</v>
      </c>
      <c r="F306" t="s">
        <v>445</v>
      </c>
      <c r="G306" s="113">
        <v>934237</v>
      </c>
      <c r="H306" s="62">
        <v>220</v>
      </c>
      <c r="I306" s="53">
        <v>44378</v>
      </c>
      <c r="J306" s="53"/>
      <c r="K306" s="12">
        <v>45107</v>
      </c>
      <c r="L306" s="51">
        <v>40000</v>
      </c>
      <c r="M306" s="51">
        <v>-40000</v>
      </c>
      <c r="N306" s="60"/>
    </row>
    <row r="307" spans="1:14">
      <c r="A307" t="s">
        <v>19</v>
      </c>
      <c r="B307" s="6">
        <v>12286</v>
      </c>
      <c r="C307" s="2" t="s">
        <v>452</v>
      </c>
      <c r="D307" s="6">
        <v>222655</v>
      </c>
      <c r="E307" s="47">
        <v>44652</v>
      </c>
      <c r="F307" t="s">
        <v>433</v>
      </c>
      <c r="G307" s="113">
        <v>936345</v>
      </c>
      <c r="H307" s="62">
        <v>1150</v>
      </c>
      <c r="I307" s="53">
        <v>44512</v>
      </c>
      <c r="J307" s="53"/>
      <c r="K307" s="12">
        <v>44876</v>
      </c>
      <c r="L307" s="51">
        <v>110100</v>
      </c>
      <c r="M307" s="51">
        <v>-110100</v>
      </c>
      <c r="N307" s="60"/>
    </row>
    <row r="308" spans="1:14">
      <c r="A308" t="s">
        <v>117</v>
      </c>
      <c r="B308" s="6">
        <v>12287</v>
      </c>
      <c r="C308" s="2" t="s">
        <v>475</v>
      </c>
      <c r="D308" s="6">
        <v>183685</v>
      </c>
      <c r="E308" s="47">
        <v>42802</v>
      </c>
      <c r="F308" t="s">
        <v>476</v>
      </c>
      <c r="G308" s="113">
        <v>917769</v>
      </c>
      <c r="H308" s="62">
        <v>1098</v>
      </c>
      <c r="I308" s="53">
        <v>43101</v>
      </c>
      <c r="J308" s="53"/>
      <c r="K308" s="12">
        <v>43465</v>
      </c>
      <c r="L308" s="51">
        <v>1018752</v>
      </c>
      <c r="M308" s="51">
        <f>-1018752+305625.6+305625.6+305625.6</f>
        <v>-101875.20000000007</v>
      </c>
      <c r="N308" s="52" t="s">
        <v>29</v>
      </c>
    </row>
    <row r="309" spans="1:14" ht="26.25">
      <c r="A309" t="s">
        <v>19</v>
      </c>
      <c r="B309" s="6">
        <v>12288</v>
      </c>
      <c r="C309" s="2" t="s">
        <v>477</v>
      </c>
      <c r="D309" s="6">
        <v>112472</v>
      </c>
      <c r="E309" s="47">
        <v>41597</v>
      </c>
      <c r="F309" t="s">
        <v>478</v>
      </c>
      <c r="G309" s="113">
        <v>69846</v>
      </c>
      <c r="H309" s="62">
        <v>608</v>
      </c>
      <c r="I309" s="53">
        <v>41369</v>
      </c>
      <c r="J309" s="53"/>
      <c r="K309" s="12" t="s">
        <v>129</v>
      </c>
      <c r="L309" s="51">
        <v>0</v>
      </c>
      <c r="M309" s="51">
        <v>-243</v>
      </c>
      <c r="N309" s="60" t="s">
        <v>479</v>
      </c>
    </row>
    <row r="310" spans="1:14">
      <c r="A310" t="s">
        <v>120</v>
      </c>
      <c r="B310" s="6">
        <v>12290</v>
      </c>
      <c r="C310" s="2" t="s">
        <v>480</v>
      </c>
      <c r="D310" s="6">
        <v>183662</v>
      </c>
      <c r="E310" s="47">
        <v>42796</v>
      </c>
      <c r="F310" t="s">
        <v>25</v>
      </c>
      <c r="G310" s="113">
        <v>916077</v>
      </c>
      <c r="H310" s="62">
        <v>1255</v>
      </c>
      <c r="I310" s="53"/>
      <c r="J310" s="53"/>
      <c r="K310" s="12"/>
      <c r="L310" s="51">
        <v>1262150</v>
      </c>
      <c r="M310" s="51">
        <f>-1262150+1262150</f>
        <v>0</v>
      </c>
      <c r="N310" s="52" t="s">
        <v>22</v>
      </c>
    </row>
    <row r="311" spans="1:14">
      <c r="A311" t="s">
        <v>120</v>
      </c>
      <c r="B311" s="6">
        <v>12290</v>
      </c>
      <c r="C311" s="2" t="s">
        <v>480</v>
      </c>
      <c r="D311" s="6">
        <v>191237</v>
      </c>
      <c r="E311" s="47">
        <v>43208</v>
      </c>
      <c r="F311" t="s">
        <v>191</v>
      </c>
      <c r="G311" s="113">
        <v>34711</v>
      </c>
      <c r="H311" s="62">
        <v>1107</v>
      </c>
      <c r="I311" s="53">
        <v>43132</v>
      </c>
      <c r="J311" s="53"/>
      <c r="K311" s="12">
        <v>44957</v>
      </c>
      <c r="L311" s="51">
        <v>200000</v>
      </c>
      <c r="M311" s="51">
        <f>-200000+200000</f>
        <v>0</v>
      </c>
      <c r="N311" s="52" t="s">
        <v>270</v>
      </c>
    </row>
    <row r="312" spans="1:14">
      <c r="A312" t="s">
        <v>120</v>
      </c>
      <c r="B312" s="6">
        <v>12290</v>
      </c>
      <c r="C312" s="2" t="s">
        <v>480</v>
      </c>
      <c r="D312" s="6">
        <v>193602</v>
      </c>
      <c r="E312" s="53">
        <v>43297</v>
      </c>
      <c r="F312" t="s">
        <v>481</v>
      </c>
      <c r="G312" s="113">
        <v>923917</v>
      </c>
      <c r="H312" s="62" t="s">
        <v>482</v>
      </c>
      <c r="I312" s="12">
        <v>43374</v>
      </c>
      <c r="J312" s="12"/>
      <c r="K312" s="12"/>
      <c r="L312" s="51">
        <v>130000</v>
      </c>
      <c r="M312" s="51">
        <f>-130000+65000+65000</f>
        <v>0</v>
      </c>
      <c r="N312" s="52" t="s">
        <v>22</v>
      </c>
    </row>
    <row r="313" spans="1:14">
      <c r="A313" t="s">
        <v>19</v>
      </c>
      <c r="B313" s="6">
        <v>12291</v>
      </c>
      <c r="C313" s="2" t="s">
        <v>483</v>
      </c>
      <c r="D313" s="6">
        <v>190788</v>
      </c>
      <c r="E313" s="53">
        <v>43178</v>
      </c>
      <c r="F313" t="s">
        <v>484</v>
      </c>
      <c r="G313" s="113">
        <v>922967</v>
      </c>
      <c r="H313" s="62">
        <v>2102</v>
      </c>
      <c r="I313" s="12">
        <v>43266</v>
      </c>
      <c r="J313" s="12"/>
      <c r="K313" s="12">
        <v>43630</v>
      </c>
      <c r="L313" s="51">
        <v>202950</v>
      </c>
      <c r="M313" s="51">
        <f>-202950+202950-944.4+944.5+944.4-944.5</f>
        <v>0</v>
      </c>
      <c r="N313" s="52" t="s">
        <v>29</v>
      </c>
    </row>
    <row r="314" spans="1:14">
      <c r="A314" t="s">
        <v>19</v>
      </c>
      <c r="B314" s="6">
        <v>12291</v>
      </c>
      <c r="C314" s="2" t="s">
        <v>483</v>
      </c>
      <c r="D314" s="6">
        <v>196882</v>
      </c>
      <c r="E314" s="53">
        <v>43462</v>
      </c>
      <c r="F314" t="s">
        <v>21</v>
      </c>
      <c r="G314" s="113">
        <v>926546</v>
      </c>
      <c r="H314" s="62">
        <v>1100</v>
      </c>
      <c r="I314" s="12">
        <v>43461</v>
      </c>
      <c r="J314" s="12"/>
      <c r="K314" s="12">
        <v>44749</v>
      </c>
      <c r="L314" s="51">
        <v>50000</v>
      </c>
      <c r="M314" s="51">
        <v>-50000</v>
      </c>
      <c r="N314" s="52" t="s">
        <v>22</v>
      </c>
    </row>
    <row r="315" spans="1:14">
      <c r="A315" t="s">
        <v>19</v>
      </c>
      <c r="B315" s="6">
        <v>12291</v>
      </c>
      <c r="C315" s="2" t="s">
        <v>483</v>
      </c>
      <c r="D315" s="6">
        <v>211897</v>
      </c>
      <c r="E315" s="53">
        <v>43672</v>
      </c>
      <c r="F315" t="s">
        <v>485</v>
      </c>
      <c r="G315" s="113">
        <v>64056</v>
      </c>
      <c r="H315" s="62" t="s">
        <v>486</v>
      </c>
      <c r="I315" s="12">
        <v>43647</v>
      </c>
      <c r="J315" s="12"/>
      <c r="K315" s="12">
        <v>44012</v>
      </c>
      <c r="L315" s="51">
        <v>35000</v>
      </c>
      <c r="M315" s="51">
        <v>0</v>
      </c>
      <c r="N315" s="52" t="s">
        <v>487</v>
      </c>
    </row>
    <row r="316" spans="1:14">
      <c r="A316" t="s">
        <v>19</v>
      </c>
      <c r="B316" s="6">
        <v>12291</v>
      </c>
      <c r="C316" s="2" t="s">
        <v>483</v>
      </c>
      <c r="D316" s="6">
        <v>220763</v>
      </c>
      <c r="E316" s="53">
        <v>44377</v>
      </c>
      <c r="F316" t="s">
        <v>488</v>
      </c>
      <c r="G316" s="113">
        <v>930631</v>
      </c>
      <c r="H316" s="62" t="s">
        <v>489</v>
      </c>
      <c r="I316" s="12">
        <v>43981</v>
      </c>
      <c r="J316" s="12"/>
      <c r="K316" s="12">
        <v>44710</v>
      </c>
      <c r="L316" s="51">
        <v>442500</v>
      </c>
      <c r="M316" s="51">
        <f>-442500+442500</f>
        <v>0</v>
      </c>
      <c r="N316" s="52"/>
    </row>
    <row r="317" spans="1:14">
      <c r="A317" t="s">
        <v>19</v>
      </c>
      <c r="B317" s="6">
        <v>12291</v>
      </c>
      <c r="C317" s="2" t="s">
        <v>483</v>
      </c>
      <c r="D317" s="6">
        <v>221062</v>
      </c>
      <c r="E317" s="53">
        <v>44377</v>
      </c>
      <c r="F317" t="s">
        <v>490</v>
      </c>
      <c r="G317" s="113">
        <v>913621</v>
      </c>
      <c r="H317" s="62">
        <v>9228</v>
      </c>
      <c r="I317" s="12">
        <v>44256</v>
      </c>
      <c r="J317" s="12"/>
      <c r="K317" s="12">
        <v>46081</v>
      </c>
      <c r="L317" s="51">
        <v>25000</v>
      </c>
      <c r="M317" s="51">
        <f>-25000+25000</f>
        <v>0</v>
      </c>
      <c r="N317" s="52"/>
    </row>
    <row r="318" spans="1:14" ht="12.75" customHeight="1">
      <c r="A318" t="s">
        <v>19</v>
      </c>
      <c r="B318" s="6">
        <v>12291</v>
      </c>
      <c r="C318" s="2" t="s">
        <v>483</v>
      </c>
      <c r="D318" s="6">
        <v>213080</v>
      </c>
      <c r="E318" s="53">
        <v>43752</v>
      </c>
      <c r="F318" s="1" t="s">
        <v>340</v>
      </c>
      <c r="G318" s="113">
        <v>104761</v>
      </c>
      <c r="H318" s="62">
        <v>2062</v>
      </c>
      <c r="I318" s="12">
        <v>43658</v>
      </c>
      <c r="J318" s="12"/>
      <c r="K318" s="12">
        <v>44388</v>
      </c>
      <c r="L318" s="51">
        <v>436590</v>
      </c>
      <c r="M318" s="51">
        <f>-436590+436590</f>
        <v>0</v>
      </c>
      <c r="N318" s="52" t="s">
        <v>175</v>
      </c>
    </row>
    <row r="319" spans="1:14">
      <c r="A319" t="s">
        <v>19</v>
      </c>
      <c r="B319" s="6">
        <v>12291</v>
      </c>
      <c r="C319" s="2" t="s">
        <v>483</v>
      </c>
      <c r="D319" s="6">
        <v>214668</v>
      </c>
      <c r="E319" s="4">
        <v>43801</v>
      </c>
      <c r="F319" t="s">
        <v>197</v>
      </c>
      <c r="G319" s="113">
        <v>928503</v>
      </c>
      <c r="H319" s="62">
        <v>1034</v>
      </c>
      <c r="I319" s="12">
        <v>43642</v>
      </c>
      <c r="J319" s="12"/>
      <c r="K319" s="12">
        <v>44007</v>
      </c>
      <c r="L319" s="51">
        <v>130650</v>
      </c>
      <c r="M319" s="51">
        <f>-130650+130650</f>
        <v>0</v>
      </c>
      <c r="N319" s="52" t="s">
        <v>29</v>
      </c>
    </row>
    <row r="320" spans="1:14">
      <c r="A320" t="s">
        <v>19</v>
      </c>
      <c r="B320" s="6">
        <v>12291</v>
      </c>
      <c r="C320" s="2" t="s">
        <v>483</v>
      </c>
      <c r="D320" s="6">
        <v>216267</v>
      </c>
      <c r="E320" s="4">
        <v>43924</v>
      </c>
      <c r="F320" s="1" t="s">
        <v>466</v>
      </c>
      <c r="G320" s="113">
        <v>930352</v>
      </c>
      <c r="H320" s="62">
        <v>1080</v>
      </c>
      <c r="I320" s="12">
        <v>43848</v>
      </c>
      <c r="J320" s="12"/>
      <c r="K320" s="12">
        <v>44408</v>
      </c>
      <c r="L320" s="51">
        <v>556000</v>
      </c>
      <c r="M320" s="51">
        <v>0</v>
      </c>
      <c r="N320" s="52" t="s">
        <v>491</v>
      </c>
    </row>
    <row r="321" spans="1:14">
      <c r="A321" t="s">
        <v>19</v>
      </c>
      <c r="B321" s="6">
        <v>12291</v>
      </c>
      <c r="C321" s="2" t="s">
        <v>483</v>
      </c>
      <c r="D321" s="6">
        <v>216339</v>
      </c>
      <c r="E321" s="4">
        <v>43930</v>
      </c>
      <c r="F321" s="1" t="s">
        <v>153</v>
      </c>
      <c r="G321" s="113">
        <v>930435</v>
      </c>
      <c r="H321" s="62">
        <v>1001</v>
      </c>
      <c r="I321" s="12">
        <v>43862</v>
      </c>
      <c r="J321" s="12"/>
      <c r="K321" s="12">
        <v>44227</v>
      </c>
      <c r="L321" s="51">
        <v>89480</v>
      </c>
      <c r="M321" s="51">
        <f>-89480+89480</f>
        <v>0</v>
      </c>
      <c r="N321" s="52" t="s">
        <v>29</v>
      </c>
    </row>
    <row r="322" spans="1:14" ht="64.5">
      <c r="A322" t="s">
        <v>19</v>
      </c>
      <c r="B322" s="6">
        <v>12291</v>
      </c>
      <c r="C322" s="2" t="s">
        <v>483</v>
      </c>
      <c r="D322" s="6">
        <v>220644</v>
      </c>
      <c r="E322" s="4">
        <v>44313</v>
      </c>
      <c r="F322" s="1" t="s">
        <v>492</v>
      </c>
      <c r="G322" s="113">
        <v>934145</v>
      </c>
      <c r="H322" s="62" t="s">
        <v>493</v>
      </c>
      <c r="I322" s="12">
        <v>44357</v>
      </c>
      <c r="J322" s="12"/>
      <c r="K322" s="12">
        <v>48244</v>
      </c>
      <c r="L322" s="51">
        <v>2250000</v>
      </c>
      <c r="M322" s="51">
        <f>1125000-1125000+900000-1125000</f>
        <v>-225000</v>
      </c>
      <c r="N322" s="60" t="s">
        <v>494</v>
      </c>
    </row>
    <row r="323" spans="1:14" ht="26.25">
      <c r="A323" t="s">
        <v>19</v>
      </c>
      <c r="B323" s="6">
        <v>12291</v>
      </c>
      <c r="C323" s="2" t="s">
        <v>483</v>
      </c>
      <c r="D323" s="6">
        <v>221920</v>
      </c>
      <c r="E323" s="4">
        <v>44424</v>
      </c>
      <c r="F323" s="1" t="s">
        <v>495</v>
      </c>
      <c r="G323" s="113">
        <v>243731</v>
      </c>
      <c r="H323" s="62">
        <v>183</v>
      </c>
      <c r="I323" s="12">
        <v>43922</v>
      </c>
      <c r="J323" s="12"/>
      <c r="K323" s="12">
        <v>48244</v>
      </c>
      <c r="L323" s="51">
        <v>637400</v>
      </c>
      <c r="M323" s="51">
        <f>-637400+191220+191220+191220</f>
        <v>-63740</v>
      </c>
      <c r="N323" s="60" t="s">
        <v>496</v>
      </c>
    </row>
    <row r="324" spans="1:14">
      <c r="A324" t="s">
        <v>19</v>
      </c>
      <c r="B324" s="6">
        <v>12291</v>
      </c>
      <c r="C324" s="2" t="s">
        <v>483</v>
      </c>
      <c r="D324" s="6">
        <v>221142</v>
      </c>
      <c r="E324" s="4">
        <v>44320</v>
      </c>
      <c r="F324" s="1" t="s">
        <v>179</v>
      </c>
      <c r="G324" s="113">
        <v>933354</v>
      </c>
      <c r="H324" s="62">
        <v>2070</v>
      </c>
      <c r="I324" s="12">
        <v>44183</v>
      </c>
      <c r="J324" s="12"/>
      <c r="K324" s="12">
        <v>44547</v>
      </c>
      <c r="L324" s="51" t="s">
        <v>497</v>
      </c>
      <c r="M324" s="51">
        <f>50000-50000</f>
        <v>0</v>
      </c>
      <c r="N324" s="60"/>
    </row>
    <row r="325" spans="1:14">
      <c r="A325" t="s">
        <v>19</v>
      </c>
      <c r="B325" s="6">
        <v>12291</v>
      </c>
      <c r="C325" s="2" t="s">
        <v>483</v>
      </c>
      <c r="D325" s="6">
        <v>222495</v>
      </c>
      <c r="E325" s="4">
        <v>44469</v>
      </c>
      <c r="F325" s="1" t="s">
        <v>498</v>
      </c>
      <c r="G325" s="113">
        <v>935109</v>
      </c>
      <c r="H325" s="62">
        <v>67</v>
      </c>
      <c r="I325" s="12">
        <v>44383</v>
      </c>
      <c r="J325" s="12"/>
      <c r="K325" s="12">
        <v>45504</v>
      </c>
      <c r="L325" s="51">
        <v>5000</v>
      </c>
      <c r="M325" s="51">
        <v>-5000</v>
      </c>
      <c r="N325" s="60"/>
    </row>
    <row r="326" spans="1:14">
      <c r="A326" t="s">
        <v>19</v>
      </c>
      <c r="B326" s="6">
        <v>12291</v>
      </c>
      <c r="C326" s="2" t="s">
        <v>483</v>
      </c>
      <c r="D326" s="6">
        <v>222650</v>
      </c>
      <c r="E326" s="4">
        <v>44501</v>
      </c>
      <c r="F326" s="1" t="s">
        <v>208</v>
      </c>
      <c r="G326" s="113">
        <v>936291</v>
      </c>
      <c r="H326" s="62">
        <v>63</v>
      </c>
      <c r="I326" s="12">
        <v>44504</v>
      </c>
      <c r="J326" s="12"/>
      <c r="K326" s="12">
        <v>45049</v>
      </c>
      <c r="L326" s="51">
        <v>202540</v>
      </c>
      <c r="M326" s="51">
        <v>-202540</v>
      </c>
      <c r="N326" s="60"/>
    </row>
    <row r="327" spans="1:14">
      <c r="A327" t="s">
        <v>19</v>
      </c>
      <c r="B327" s="6">
        <v>12291</v>
      </c>
      <c r="C327" s="2" t="s">
        <v>483</v>
      </c>
      <c r="D327" s="6">
        <v>222921</v>
      </c>
      <c r="E327" s="4">
        <v>44501</v>
      </c>
      <c r="F327" s="1" t="s">
        <v>499</v>
      </c>
      <c r="G327" s="113">
        <v>933437</v>
      </c>
      <c r="H327" s="62">
        <v>1082</v>
      </c>
      <c r="I327" s="12">
        <v>44462</v>
      </c>
      <c r="J327" s="12"/>
      <c r="K327" s="12">
        <v>48121</v>
      </c>
      <c r="L327" s="51">
        <v>1538925</v>
      </c>
      <c r="M327" s="51">
        <v>-1538925</v>
      </c>
      <c r="N327" s="60"/>
    </row>
    <row r="328" spans="1:14">
      <c r="A328" t="s">
        <v>19</v>
      </c>
      <c r="B328" s="6">
        <v>12291</v>
      </c>
      <c r="C328" s="2" t="s">
        <v>483</v>
      </c>
      <c r="D328" s="6">
        <v>220764</v>
      </c>
      <c r="E328" s="4">
        <v>44561</v>
      </c>
      <c r="F328" s="1" t="s">
        <v>500</v>
      </c>
      <c r="G328" s="114">
        <v>932838</v>
      </c>
      <c r="H328" s="6" t="s">
        <v>501</v>
      </c>
      <c r="I328" s="12">
        <v>44116</v>
      </c>
      <c r="J328" s="12"/>
      <c r="K328" s="12">
        <v>47968</v>
      </c>
      <c r="L328" s="51">
        <v>239840</v>
      </c>
      <c r="M328" s="51">
        <f>-239840+239840</f>
        <v>0</v>
      </c>
      <c r="N328" s="60"/>
    </row>
    <row r="329" spans="1:14">
      <c r="A329" t="s">
        <v>19</v>
      </c>
      <c r="B329" s="6">
        <v>12291</v>
      </c>
      <c r="C329" s="2" t="s">
        <v>483</v>
      </c>
      <c r="D329" s="6">
        <v>214853</v>
      </c>
      <c r="E329" s="4">
        <v>44475</v>
      </c>
      <c r="F329" s="1" t="s">
        <v>438</v>
      </c>
      <c r="G329" s="114">
        <v>282301</v>
      </c>
      <c r="H329" s="6">
        <v>45</v>
      </c>
      <c r="I329" s="12">
        <v>44197</v>
      </c>
      <c r="J329" s="12"/>
      <c r="K329" s="12">
        <v>47149</v>
      </c>
      <c r="L329" s="51">
        <v>2046640</v>
      </c>
      <c r="M329" s="51">
        <f>2046640-2046640</f>
        <v>0</v>
      </c>
      <c r="N329" s="60"/>
    </row>
    <row r="330" spans="1:14">
      <c r="A330" t="s">
        <v>19</v>
      </c>
      <c r="B330" s="6">
        <v>12291</v>
      </c>
      <c r="C330" s="2" t="s">
        <v>483</v>
      </c>
      <c r="D330" s="6">
        <v>221874</v>
      </c>
      <c r="E330" s="4">
        <v>44651</v>
      </c>
      <c r="F330" s="1" t="s">
        <v>502</v>
      </c>
      <c r="G330" s="114">
        <v>935343</v>
      </c>
      <c r="H330" s="6">
        <v>2072</v>
      </c>
      <c r="I330" s="12">
        <v>44468</v>
      </c>
      <c r="J330" s="12"/>
      <c r="K330" s="12">
        <v>45013</v>
      </c>
      <c r="L330" s="51">
        <v>298100</v>
      </c>
      <c r="M330" s="51">
        <v>-298100</v>
      </c>
      <c r="N330" s="60"/>
    </row>
    <row r="331" spans="1:14">
      <c r="A331" t="s">
        <v>19</v>
      </c>
      <c r="B331" s="6">
        <v>12291</v>
      </c>
      <c r="C331" s="2" t="s">
        <v>483</v>
      </c>
      <c r="D331" s="6">
        <v>222648</v>
      </c>
      <c r="E331" s="4">
        <v>44651</v>
      </c>
      <c r="F331" s="1" t="s">
        <v>207</v>
      </c>
      <c r="G331" s="114">
        <v>934495</v>
      </c>
      <c r="H331" s="6">
        <v>1038</v>
      </c>
      <c r="I331" s="12">
        <v>44409</v>
      </c>
      <c r="J331" s="12"/>
      <c r="K331" s="12">
        <v>44957</v>
      </c>
      <c r="L331" s="51">
        <v>630430</v>
      </c>
      <c r="M331" s="51">
        <v>-630430</v>
      </c>
      <c r="N331" s="60"/>
    </row>
    <row r="332" spans="1:14" ht="38.25">
      <c r="A332" t="s">
        <v>19</v>
      </c>
      <c r="B332" s="6">
        <v>12292</v>
      </c>
      <c r="C332" s="2" t="s">
        <v>503</v>
      </c>
      <c r="D332" s="6">
        <v>186255</v>
      </c>
      <c r="E332" s="4">
        <v>42929</v>
      </c>
      <c r="F332" s="1" t="s">
        <v>504</v>
      </c>
      <c r="G332" s="114">
        <v>106903</v>
      </c>
      <c r="H332" s="6">
        <v>249</v>
      </c>
      <c r="I332" s="12">
        <v>42583</v>
      </c>
      <c r="J332" s="12"/>
      <c r="K332" s="12">
        <v>42947</v>
      </c>
      <c r="L332" s="51">
        <v>250000</v>
      </c>
      <c r="M332" s="51">
        <f>-250000+125000+109000+16000</f>
        <v>0</v>
      </c>
      <c r="N332" s="76" t="s">
        <v>505</v>
      </c>
    </row>
    <row r="333" spans="1:14">
      <c r="A333" t="s">
        <v>19</v>
      </c>
      <c r="B333" s="6">
        <v>12292</v>
      </c>
      <c r="C333" s="2" t="s">
        <v>503</v>
      </c>
      <c r="D333" s="6">
        <v>193601</v>
      </c>
      <c r="E333" s="4">
        <v>43297</v>
      </c>
      <c r="F333" s="1" t="s">
        <v>506</v>
      </c>
      <c r="G333" s="114">
        <v>923680</v>
      </c>
      <c r="H333" s="6">
        <v>306</v>
      </c>
      <c r="I333" s="12">
        <v>43355</v>
      </c>
      <c r="J333" s="12"/>
      <c r="K333" s="12"/>
      <c r="L333" s="51">
        <v>1410981</v>
      </c>
      <c r="M333" s="51">
        <f>-1410981+103500+334320+20000+19000+8000+28000+45000+507341+334320</f>
        <v>-11500</v>
      </c>
      <c r="N333" s="77" t="s">
        <v>507</v>
      </c>
    </row>
    <row r="334" spans="1:14" ht="25.5">
      <c r="A334" t="s">
        <v>19</v>
      </c>
      <c r="B334" s="6">
        <v>12292</v>
      </c>
      <c r="C334" s="2" t="s">
        <v>503</v>
      </c>
      <c r="D334" s="6">
        <v>193722</v>
      </c>
      <c r="E334" s="4">
        <v>43312</v>
      </c>
      <c r="F334" s="1" t="s">
        <v>508</v>
      </c>
      <c r="G334" s="114">
        <v>106966</v>
      </c>
      <c r="H334" s="6">
        <v>1124</v>
      </c>
      <c r="I334" s="12">
        <v>43402</v>
      </c>
      <c r="J334" s="12"/>
      <c r="K334" s="12">
        <v>44132</v>
      </c>
      <c r="L334" s="51">
        <v>462044</v>
      </c>
      <c r="M334" s="51">
        <f>-462044+138613.2+138613.2+138613.2+3869.94+42334.46</f>
        <v>0</v>
      </c>
      <c r="N334" s="77" t="s">
        <v>509</v>
      </c>
    </row>
    <row r="335" spans="1:14">
      <c r="A335" t="s">
        <v>19</v>
      </c>
      <c r="B335" s="6">
        <v>12292</v>
      </c>
      <c r="C335" s="2" t="s">
        <v>503</v>
      </c>
      <c r="D335" s="6">
        <v>196866</v>
      </c>
      <c r="E335" s="4">
        <v>43461</v>
      </c>
      <c r="F335" s="1" t="s">
        <v>465</v>
      </c>
      <c r="G335" s="114">
        <v>107443</v>
      </c>
      <c r="H335" s="6">
        <v>128</v>
      </c>
      <c r="I335" s="12">
        <v>42036</v>
      </c>
      <c r="J335" s="12"/>
      <c r="K335" s="12">
        <v>43861</v>
      </c>
      <c r="L335" s="51">
        <v>51000</v>
      </c>
      <c r="M335" s="51">
        <v>-51000</v>
      </c>
      <c r="N335" s="77" t="s">
        <v>111</v>
      </c>
    </row>
    <row r="336" spans="1:14" ht="25.5">
      <c r="A336" t="s">
        <v>19</v>
      </c>
      <c r="B336" s="6">
        <v>12292</v>
      </c>
      <c r="C336" s="2" t="s">
        <v>503</v>
      </c>
      <c r="D336" s="6">
        <v>197033</v>
      </c>
      <c r="E336" s="47">
        <v>43465</v>
      </c>
      <c r="F336" s="1" t="s">
        <v>21</v>
      </c>
      <c r="G336" s="113">
        <v>926557</v>
      </c>
      <c r="H336" s="62">
        <v>2098</v>
      </c>
      <c r="I336" s="12">
        <v>43402</v>
      </c>
      <c r="J336" s="12"/>
      <c r="K336" s="12"/>
      <c r="L336" s="51">
        <v>50000</v>
      </c>
      <c r="M336" s="51">
        <f>-50000+50000</f>
        <v>0</v>
      </c>
      <c r="N336" s="77" t="s">
        <v>510</v>
      </c>
    </row>
    <row r="337" spans="1:14" ht="15" customHeight="1">
      <c r="A337" t="s">
        <v>19</v>
      </c>
      <c r="B337" s="6">
        <v>12292</v>
      </c>
      <c r="C337" s="2" t="s">
        <v>503</v>
      </c>
      <c r="D337" s="6">
        <v>215398</v>
      </c>
      <c r="E337" s="47">
        <v>43872</v>
      </c>
      <c r="F337" s="1" t="s">
        <v>511</v>
      </c>
      <c r="G337" s="113">
        <v>930623</v>
      </c>
      <c r="H337" s="62">
        <v>229</v>
      </c>
      <c r="I337" s="12">
        <v>43800</v>
      </c>
      <c r="J337" s="12"/>
      <c r="K337" s="12">
        <v>44166</v>
      </c>
      <c r="L337" s="51">
        <v>50000</v>
      </c>
      <c r="M337" s="51">
        <f>-50000+50000</f>
        <v>0</v>
      </c>
      <c r="N337" s="52" t="s">
        <v>512</v>
      </c>
    </row>
    <row r="338" spans="1:14">
      <c r="A338" t="s">
        <v>19</v>
      </c>
      <c r="B338" s="6">
        <v>12292</v>
      </c>
      <c r="C338" s="2" t="s">
        <v>503</v>
      </c>
      <c r="D338" s="6">
        <v>219855</v>
      </c>
      <c r="E338" s="47">
        <v>44256</v>
      </c>
      <c r="F338" s="1" t="s">
        <v>513</v>
      </c>
      <c r="G338" s="113">
        <v>931265</v>
      </c>
      <c r="H338" s="62"/>
      <c r="I338" s="12"/>
      <c r="J338" s="12"/>
      <c r="K338" s="12"/>
      <c r="L338" s="51">
        <v>95895</v>
      </c>
      <c r="M338" s="51">
        <f>65401.72-95895</f>
        <v>-30493.279999999999</v>
      </c>
      <c r="N338" s="52" t="s">
        <v>514</v>
      </c>
    </row>
    <row r="339" spans="1:14">
      <c r="A339" t="s">
        <v>19</v>
      </c>
      <c r="B339" s="6">
        <v>12292</v>
      </c>
      <c r="C339" s="2" t="s">
        <v>503</v>
      </c>
      <c r="D339" s="6"/>
      <c r="E339" s="47">
        <v>44637</v>
      </c>
      <c r="F339" s="1" t="s">
        <v>329</v>
      </c>
      <c r="G339" s="113">
        <v>107596</v>
      </c>
      <c r="H339" s="62"/>
      <c r="I339" s="12"/>
      <c r="J339" s="12"/>
      <c r="K339" s="12"/>
      <c r="L339" s="51"/>
      <c r="M339" s="51">
        <v>21535.88</v>
      </c>
      <c r="N339" s="52" t="s">
        <v>515</v>
      </c>
    </row>
    <row r="340" spans="1:14">
      <c r="A340" t="s">
        <v>19</v>
      </c>
      <c r="B340" s="6">
        <v>12293</v>
      </c>
      <c r="C340" s="2" t="s">
        <v>516</v>
      </c>
      <c r="D340" s="6">
        <v>214744</v>
      </c>
      <c r="E340" s="47">
        <v>43832</v>
      </c>
      <c r="F340" s="1" t="s">
        <v>88</v>
      </c>
      <c r="G340" s="113">
        <v>66392</v>
      </c>
      <c r="H340" s="62" t="s">
        <v>517</v>
      </c>
      <c r="I340" s="12">
        <v>43620</v>
      </c>
      <c r="J340" s="12"/>
      <c r="K340" s="12">
        <v>44716</v>
      </c>
      <c r="L340" s="51">
        <v>636000</v>
      </c>
      <c r="M340" s="51">
        <f>-636000+536943.9</f>
        <v>-99056.099999999977</v>
      </c>
      <c r="N340" s="52" t="s">
        <v>217</v>
      </c>
    </row>
    <row r="341" spans="1:14">
      <c r="A341" t="s">
        <v>19</v>
      </c>
      <c r="B341" s="6">
        <v>12293</v>
      </c>
      <c r="C341" s="2" t="s">
        <v>516</v>
      </c>
      <c r="D341" s="6">
        <v>219739</v>
      </c>
      <c r="E341" s="47">
        <v>44075</v>
      </c>
      <c r="F341" s="1" t="s">
        <v>75</v>
      </c>
      <c r="G341" s="113">
        <v>931614</v>
      </c>
      <c r="H341" s="62" t="s">
        <v>518</v>
      </c>
      <c r="I341" s="12">
        <v>43979</v>
      </c>
      <c r="J341" s="12"/>
      <c r="K341" s="12">
        <v>44343</v>
      </c>
      <c r="L341" s="51">
        <v>648330.25</v>
      </c>
      <c r="M341" s="51">
        <f>-648330.25+635364.25</f>
        <v>-12966</v>
      </c>
      <c r="N341" s="52" t="s">
        <v>29</v>
      </c>
    </row>
    <row r="342" spans="1:14">
      <c r="A342" t="s">
        <v>19</v>
      </c>
      <c r="B342" s="6">
        <v>12293</v>
      </c>
      <c r="C342" s="2" t="s">
        <v>516</v>
      </c>
      <c r="D342" s="6">
        <v>221412</v>
      </c>
      <c r="E342" s="47">
        <v>44439</v>
      </c>
      <c r="F342" s="1" t="s">
        <v>519</v>
      </c>
      <c r="G342" s="113">
        <v>108820</v>
      </c>
      <c r="H342" s="62" t="s">
        <v>520</v>
      </c>
      <c r="I342" s="12">
        <v>44927</v>
      </c>
      <c r="J342" s="12"/>
      <c r="K342" s="12">
        <v>45291</v>
      </c>
      <c r="L342" s="51">
        <v>150000</v>
      </c>
      <c r="M342" s="51">
        <v>-150000</v>
      </c>
      <c r="N342" s="52" t="s">
        <v>29</v>
      </c>
    </row>
    <row r="343" spans="1:14">
      <c r="A343" t="s">
        <v>19</v>
      </c>
      <c r="B343" s="6">
        <v>12293</v>
      </c>
      <c r="C343" s="2" t="s">
        <v>516</v>
      </c>
      <c r="D343" s="6">
        <v>221897</v>
      </c>
      <c r="E343" s="47">
        <v>44439</v>
      </c>
      <c r="F343" s="1" t="s">
        <v>521</v>
      </c>
      <c r="G343" s="113">
        <v>935573</v>
      </c>
      <c r="H343" s="62" t="s">
        <v>522</v>
      </c>
      <c r="I343" s="12">
        <v>44601</v>
      </c>
      <c r="J343" s="12"/>
      <c r="K343" s="12">
        <v>45330</v>
      </c>
      <c r="L343" s="51">
        <v>288830</v>
      </c>
      <c r="M343" s="51">
        <v>-288830</v>
      </c>
      <c r="N343" s="52" t="s">
        <v>175</v>
      </c>
    </row>
    <row r="344" spans="1:14" ht="14.1" customHeight="1">
      <c r="A344" t="s">
        <v>19</v>
      </c>
      <c r="B344" s="6">
        <v>12293</v>
      </c>
      <c r="C344" s="2" t="s">
        <v>516</v>
      </c>
      <c r="D344" s="6">
        <v>221915</v>
      </c>
      <c r="E344" s="47">
        <v>44439</v>
      </c>
      <c r="F344" s="1" t="s">
        <v>523</v>
      </c>
      <c r="G344" s="113">
        <v>935862</v>
      </c>
      <c r="H344" s="62">
        <v>2460</v>
      </c>
      <c r="I344" s="12">
        <v>44507</v>
      </c>
      <c r="J344" s="12"/>
      <c r="K344" s="12">
        <v>44871</v>
      </c>
      <c r="L344" s="51">
        <v>75000</v>
      </c>
      <c r="M344" s="51">
        <f>-75000+37500</f>
        <v>-37500</v>
      </c>
      <c r="N344" s="52" t="s">
        <v>29</v>
      </c>
    </row>
    <row r="345" spans="1:14" ht="14.1" customHeight="1">
      <c r="A345" t="s">
        <v>19</v>
      </c>
      <c r="B345" s="6">
        <v>12293</v>
      </c>
      <c r="C345" s="2" t="s">
        <v>516</v>
      </c>
      <c r="D345" s="6">
        <v>221924</v>
      </c>
      <c r="E345" s="47">
        <v>44439</v>
      </c>
      <c r="F345" s="1" t="s">
        <v>524</v>
      </c>
      <c r="G345" s="113">
        <v>931510</v>
      </c>
      <c r="H345" s="62" t="s">
        <v>525</v>
      </c>
      <c r="I345" s="12">
        <v>44375</v>
      </c>
      <c r="J345" s="12"/>
      <c r="K345" s="12">
        <v>44739</v>
      </c>
      <c r="L345" s="51">
        <v>1011021.5</v>
      </c>
      <c r="M345" s="51">
        <v>-1011021.5</v>
      </c>
      <c r="N345" s="52" t="s">
        <v>29</v>
      </c>
    </row>
    <row r="346" spans="1:14" ht="14.1" customHeight="1">
      <c r="A346" t="s">
        <v>19</v>
      </c>
      <c r="B346" s="6">
        <v>12293</v>
      </c>
      <c r="C346" s="2" t="s">
        <v>516</v>
      </c>
      <c r="D346" s="6">
        <v>221991</v>
      </c>
      <c r="E346" s="47">
        <v>44439</v>
      </c>
      <c r="F346" s="1" t="s">
        <v>526</v>
      </c>
      <c r="G346" s="113">
        <v>935916</v>
      </c>
      <c r="H346" s="62" t="s">
        <v>301</v>
      </c>
      <c r="I346" s="12">
        <v>44522</v>
      </c>
      <c r="J346" s="12"/>
      <c r="K346" s="12">
        <v>45067</v>
      </c>
      <c r="L346" s="51">
        <v>175000</v>
      </c>
      <c r="M346" s="51">
        <v>-175000</v>
      </c>
      <c r="N346" s="52" t="s">
        <v>462</v>
      </c>
    </row>
    <row r="347" spans="1:14">
      <c r="A347" t="s">
        <v>19</v>
      </c>
      <c r="B347" s="6">
        <v>12293</v>
      </c>
      <c r="C347" s="2" t="s">
        <v>516</v>
      </c>
      <c r="D347" s="6">
        <v>222976</v>
      </c>
      <c r="E347" s="78">
        <v>44561</v>
      </c>
      <c r="F347" t="s">
        <v>527</v>
      </c>
      <c r="G347" s="113">
        <v>936616</v>
      </c>
      <c r="H347" s="62">
        <v>2508</v>
      </c>
      <c r="I347" s="53">
        <v>44513</v>
      </c>
      <c r="J347" s="53"/>
      <c r="K347" s="12">
        <v>44877</v>
      </c>
      <c r="L347" s="51">
        <v>35000</v>
      </c>
      <c r="M347" s="51">
        <v>-35000</v>
      </c>
      <c r="N347" s="52" t="s">
        <v>528</v>
      </c>
    </row>
    <row r="348" spans="1:14">
      <c r="A348" t="s">
        <v>19</v>
      </c>
      <c r="B348" s="6">
        <v>12293</v>
      </c>
      <c r="C348" s="2" t="s">
        <v>516</v>
      </c>
      <c r="D348" s="6">
        <v>221207</v>
      </c>
      <c r="E348" s="78">
        <v>44306</v>
      </c>
      <c r="F348" s="1" t="s">
        <v>529</v>
      </c>
      <c r="G348" s="113">
        <v>934894</v>
      </c>
      <c r="H348" s="62" t="s">
        <v>530</v>
      </c>
      <c r="I348" s="53">
        <v>44390</v>
      </c>
      <c r="J348" s="53"/>
      <c r="K348" s="12">
        <v>45119</v>
      </c>
      <c r="L348" s="51">
        <v>100000</v>
      </c>
      <c r="M348" s="51">
        <v>0</v>
      </c>
      <c r="N348" s="52" t="s">
        <v>175</v>
      </c>
    </row>
    <row r="349" spans="1:14" ht="12.6" customHeight="1">
      <c r="A349" t="s">
        <v>19</v>
      </c>
      <c r="B349" s="6">
        <v>12293</v>
      </c>
      <c r="C349" s="2" t="s">
        <v>516</v>
      </c>
      <c r="D349" s="6">
        <v>222736</v>
      </c>
      <c r="E349" s="78">
        <v>44645</v>
      </c>
      <c r="F349" s="1" t="s">
        <v>495</v>
      </c>
      <c r="G349" s="113">
        <v>936831</v>
      </c>
      <c r="H349" s="62">
        <v>2500</v>
      </c>
      <c r="I349" s="53">
        <v>44607</v>
      </c>
      <c r="J349" s="53"/>
      <c r="K349" s="12">
        <v>44971</v>
      </c>
      <c r="L349" s="51">
        <v>763400</v>
      </c>
      <c r="M349" s="51">
        <f>381700-763400</f>
        <v>-381700</v>
      </c>
      <c r="N349" s="52"/>
    </row>
    <row r="350" spans="1:14">
      <c r="A350" t="s">
        <v>19</v>
      </c>
      <c r="B350" s="6">
        <v>12293</v>
      </c>
      <c r="C350" s="2" t="s">
        <v>516</v>
      </c>
      <c r="D350" s="6">
        <v>222558</v>
      </c>
      <c r="E350" s="78">
        <v>44681</v>
      </c>
      <c r="F350" s="1" t="s">
        <v>531</v>
      </c>
      <c r="G350" s="113">
        <v>936083</v>
      </c>
      <c r="H350" s="62"/>
      <c r="I350" s="53"/>
      <c r="J350" s="53"/>
      <c r="K350" s="12" t="s">
        <v>129</v>
      </c>
      <c r="L350" s="51">
        <v>150000</v>
      </c>
      <c r="M350" s="51">
        <v>-150000</v>
      </c>
      <c r="N350" s="52"/>
    </row>
    <row r="351" spans="1:14" ht="90">
      <c r="A351" t="s">
        <v>19</v>
      </c>
      <c r="B351" s="6">
        <v>12294</v>
      </c>
      <c r="C351" s="2" t="s">
        <v>435</v>
      </c>
      <c r="D351" s="6">
        <v>180355</v>
      </c>
      <c r="E351" s="78">
        <v>42628</v>
      </c>
      <c r="F351" s="1" t="s">
        <v>532</v>
      </c>
      <c r="G351" s="113">
        <v>914825</v>
      </c>
      <c r="H351" s="62">
        <v>2500</v>
      </c>
      <c r="I351" s="53">
        <v>42583</v>
      </c>
      <c r="J351" s="53"/>
      <c r="K351" s="12">
        <v>42947</v>
      </c>
      <c r="L351" s="51">
        <v>180002</v>
      </c>
      <c r="M351" s="51">
        <v>0</v>
      </c>
      <c r="N351" s="59" t="s">
        <v>533</v>
      </c>
    </row>
    <row r="352" spans="1:14" ht="12.6" customHeight="1">
      <c r="A352" t="s">
        <v>19</v>
      </c>
      <c r="B352" s="6">
        <v>12294</v>
      </c>
      <c r="C352" s="2" t="s">
        <v>435</v>
      </c>
      <c r="D352" s="6">
        <v>186253</v>
      </c>
      <c r="E352" s="78">
        <v>42929</v>
      </c>
      <c r="F352" s="1" t="s">
        <v>534</v>
      </c>
      <c r="G352" s="113">
        <v>115966</v>
      </c>
      <c r="H352" s="62">
        <v>1097</v>
      </c>
      <c r="I352" s="53">
        <v>43252</v>
      </c>
      <c r="J352" s="53"/>
      <c r="K352" s="12">
        <v>43616</v>
      </c>
      <c r="L352" s="51">
        <v>250000</v>
      </c>
      <c r="M352" s="51">
        <v>0</v>
      </c>
      <c r="N352" s="52" t="s">
        <v>535</v>
      </c>
    </row>
    <row r="353" spans="1:14">
      <c r="A353" t="s">
        <v>19</v>
      </c>
      <c r="B353" s="6">
        <v>12294</v>
      </c>
      <c r="C353" s="2" t="s">
        <v>435</v>
      </c>
      <c r="D353" s="6">
        <v>198000</v>
      </c>
      <c r="E353" s="78">
        <v>43551</v>
      </c>
      <c r="F353" s="1" t="s">
        <v>536</v>
      </c>
      <c r="G353" s="113">
        <v>920327</v>
      </c>
      <c r="H353" s="62">
        <v>2313</v>
      </c>
      <c r="I353" s="53">
        <v>43525</v>
      </c>
      <c r="J353" s="53"/>
      <c r="K353" s="12" t="s">
        <v>129</v>
      </c>
      <c r="L353" s="51">
        <v>20000</v>
      </c>
      <c r="M353" s="51">
        <v>0</v>
      </c>
      <c r="N353" s="52" t="s">
        <v>537</v>
      </c>
    </row>
    <row r="354" spans="1:14">
      <c r="A354" t="s">
        <v>19</v>
      </c>
      <c r="B354" s="6">
        <v>12294</v>
      </c>
      <c r="C354" s="2" t="s">
        <v>435</v>
      </c>
      <c r="D354" s="6">
        <v>213857</v>
      </c>
      <c r="E354" s="78">
        <v>43800</v>
      </c>
      <c r="F354" s="1" t="s">
        <v>324</v>
      </c>
      <c r="G354" s="113">
        <v>929352</v>
      </c>
      <c r="H354" s="62">
        <v>101</v>
      </c>
      <c r="I354" s="53">
        <v>43891</v>
      </c>
      <c r="J354" s="53"/>
      <c r="K354" s="12">
        <v>44256</v>
      </c>
      <c r="L354" s="51">
        <v>707049</v>
      </c>
      <c r="M354" s="51">
        <f>-707049+353524.5+353524.5</f>
        <v>0</v>
      </c>
      <c r="N354" s="52" t="s">
        <v>29</v>
      </c>
    </row>
    <row r="355" spans="1:14" ht="12" customHeight="1">
      <c r="A355" t="s">
        <v>19</v>
      </c>
      <c r="B355" s="6">
        <v>12294</v>
      </c>
      <c r="C355" s="2" t="s">
        <v>435</v>
      </c>
      <c r="D355" s="6">
        <v>216340</v>
      </c>
      <c r="E355" s="78">
        <v>43931</v>
      </c>
      <c r="F355" s="1" t="s">
        <v>538</v>
      </c>
      <c r="G355" s="113">
        <v>930201</v>
      </c>
      <c r="H355" s="62">
        <v>2525</v>
      </c>
      <c r="I355" s="53">
        <v>43831</v>
      </c>
      <c r="J355" s="53"/>
      <c r="K355" s="12">
        <v>44197</v>
      </c>
      <c r="L355" s="51">
        <v>30000</v>
      </c>
      <c r="M355" s="51">
        <v>-30000</v>
      </c>
      <c r="N355" s="52" t="s">
        <v>29</v>
      </c>
    </row>
    <row r="356" spans="1:14" ht="12" customHeight="1">
      <c r="A356" t="s">
        <v>19</v>
      </c>
      <c r="B356" s="6">
        <v>12294</v>
      </c>
      <c r="C356" s="2" t="s">
        <v>435</v>
      </c>
      <c r="D356" s="6">
        <v>219749</v>
      </c>
      <c r="E356" s="78">
        <v>44075</v>
      </c>
      <c r="F356" s="1" t="s">
        <v>125</v>
      </c>
      <c r="G356" s="113">
        <v>931606</v>
      </c>
      <c r="H356" s="62">
        <v>2520</v>
      </c>
      <c r="I356" s="53"/>
      <c r="J356" s="53"/>
      <c r="K356" s="12" t="s">
        <v>129</v>
      </c>
      <c r="L356" s="51">
        <v>223695</v>
      </c>
      <c r="M356" s="51">
        <f>-223695+223695</f>
        <v>0</v>
      </c>
      <c r="N356" s="52"/>
    </row>
    <row r="357" spans="1:14" ht="12" customHeight="1">
      <c r="A357" t="s">
        <v>19</v>
      </c>
      <c r="B357" s="6">
        <v>12294</v>
      </c>
      <c r="C357" s="2" t="s">
        <v>435</v>
      </c>
      <c r="D357" s="6">
        <v>220089</v>
      </c>
      <c r="E357" s="78"/>
      <c r="F357" s="1" t="s">
        <v>539</v>
      </c>
      <c r="G357" s="113">
        <v>931103</v>
      </c>
      <c r="H357" s="62"/>
      <c r="I357" s="53"/>
      <c r="J357" s="53"/>
      <c r="K357" s="12" t="s">
        <v>129</v>
      </c>
      <c r="L357" s="51">
        <v>35000</v>
      </c>
      <c r="M357" s="51">
        <f>35000-35000</f>
        <v>0</v>
      </c>
      <c r="N357" s="60"/>
    </row>
    <row r="358" spans="1:14" ht="12" customHeight="1">
      <c r="A358" t="s">
        <v>19</v>
      </c>
      <c r="B358" s="6">
        <v>12294</v>
      </c>
      <c r="C358" s="2" t="s">
        <v>435</v>
      </c>
      <c r="D358" s="6">
        <v>220587</v>
      </c>
      <c r="E358" s="78"/>
      <c r="F358" s="1" t="s">
        <v>540</v>
      </c>
      <c r="G358" s="113">
        <v>931630</v>
      </c>
      <c r="H358" s="62">
        <v>2425</v>
      </c>
      <c r="I358" s="53"/>
      <c r="J358" s="53"/>
      <c r="K358" s="12" t="s">
        <v>129</v>
      </c>
      <c r="L358" s="51">
        <v>90000</v>
      </c>
      <c r="M358" s="51">
        <f>-90000+45000+45000</f>
        <v>0</v>
      </c>
      <c r="N358" s="52"/>
    </row>
    <row r="359" spans="1:14" ht="12" customHeight="1">
      <c r="A359" t="s">
        <v>19</v>
      </c>
      <c r="B359" s="6">
        <v>12294</v>
      </c>
      <c r="C359" s="2" t="s">
        <v>435</v>
      </c>
      <c r="D359" s="6">
        <v>211730</v>
      </c>
      <c r="E359" s="78">
        <v>44136</v>
      </c>
      <c r="F359" s="1" t="s">
        <v>541</v>
      </c>
      <c r="G359" s="113">
        <v>928748</v>
      </c>
      <c r="H359" s="62"/>
      <c r="I359" s="53"/>
      <c r="J359" s="53"/>
      <c r="K359" s="12" t="s">
        <v>129</v>
      </c>
      <c r="L359" s="51">
        <v>419625</v>
      </c>
      <c r="M359" s="51">
        <f>209812.5-209812.5+209812.5-419625+209812.5</f>
        <v>0</v>
      </c>
      <c r="N359" s="52"/>
    </row>
    <row r="360" spans="1:14" ht="12" customHeight="1">
      <c r="A360" t="s">
        <v>19</v>
      </c>
      <c r="B360" s="6">
        <v>12294</v>
      </c>
      <c r="C360" s="2" t="s">
        <v>435</v>
      </c>
      <c r="D360" s="6">
        <v>220906</v>
      </c>
      <c r="E360" s="78">
        <v>44257</v>
      </c>
      <c r="F360" s="1" t="s">
        <v>542</v>
      </c>
      <c r="G360" s="113">
        <v>931363</v>
      </c>
      <c r="H360" s="62"/>
      <c r="I360" s="53"/>
      <c r="J360" s="53"/>
      <c r="K360" s="12" t="s">
        <v>129</v>
      </c>
      <c r="L360" s="51">
        <v>15000</v>
      </c>
      <c r="M360" s="51">
        <f>15000-15000</f>
        <v>0</v>
      </c>
      <c r="N360" s="60"/>
    </row>
    <row r="361" spans="1:14" ht="12" customHeight="1">
      <c r="A361" t="s">
        <v>19</v>
      </c>
      <c r="B361" s="6">
        <v>12294</v>
      </c>
      <c r="C361" s="2" t="s">
        <v>435</v>
      </c>
      <c r="D361" s="6">
        <v>221879</v>
      </c>
      <c r="E361" s="78">
        <v>44561</v>
      </c>
      <c r="F361" s="1" t="s">
        <v>543</v>
      </c>
      <c r="G361" s="113" t="s">
        <v>544</v>
      </c>
      <c r="H361" s="62"/>
      <c r="I361" s="53"/>
      <c r="J361" s="53"/>
      <c r="K361" s="12" t="s">
        <v>129</v>
      </c>
      <c r="L361" s="51">
        <v>150000</v>
      </c>
      <c r="M361" s="51">
        <v>-150000</v>
      </c>
      <c r="N361" s="60"/>
    </row>
    <row r="362" spans="1:14" ht="12" customHeight="1">
      <c r="A362" t="s">
        <v>19</v>
      </c>
      <c r="B362" s="6">
        <v>12294</v>
      </c>
      <c r="C362" s="2" t="s">
        <v>435</v>
      </c>
      <c r="D362" s="6">
        <v>221902</v>
      </c>
      <c r="E362" s="78"/>
      <c r="F362" s="1" t="s">
        <v>156</v>
      </c>
      <c r="G362" s="113">
        <v>935590</v>
      </c>
      <c r="H362" s="62"/>
      <c r="I362" s="53"/>
      <c r="J362" s="53"/>
      <c r="K362" s="12" t="s">
        <v>129</v>
      </c>
      <c r="L362" s="51">
        <v>70000</v>
      </c>
      <c r="M362" s="51">
        <f>-70000+70000</f>
        <v>0</v>
      </c>
      <c r="N362" s="60"/>
    </row>
    <row r="363" spans="1:14" ht="12" customHeight="1">
      <c r="A363" t="s">
        <v>19</v>
      </c>
      <c r="B363" s="6">
        <v>12295</v>
      </c>
      <c r="C363" s="2" t="s">
        <v>545</v>
      </c>
      <c r="D363" s="6">
        <v>221901</v>
      </c>
      <c r="E363" s="78">
        <v>44378</v>
      </c>
      <c r="F363" s="1" t="s">
        <v>546</v>
      </c>
      <c r="G363" s="113" t="s">
        <v>547</v>
      </c>
      <c r="H363" s="62">
        <v>675</v>
      </c>
      <c r="I363" s="53">
        <v>44013</v>
      </c>
      <c r="J363" s="53"/>
      <c r="K363" s="12" t="s">
        <v>129</v>
      </c>
      <c r="L363" s="51">
        <v>67904</v>
      </c>
      <c r="M363" s="51">
        <f>-L363</f>
        <v>-67904</v>
      </c>
      <c r="N363" s="60"/>
    </row>
    <row r="364" spans="1:14" ht="12" customHeight="1">
      <c r="A364" t="s">
        <v>19</v>
      </c>
      <c r="B364" s="6">
        <v>12296</v>
      </c>
      <c r="C364" s="2" t="s">
        <v>548</v>
      </c>
      <c r="D364" s="6" t="s">
        <v>129</v>
      </c>
      <c r="E364" s="78">
        <v>44469</v>
      </c>
      <c r="F364" s="1" t="s">
        <v>549</v>
      </c>
      <c r="G364" s="113" t="s">
        <v>550</v>
      </c>
      <c r="H364" s="62"/>
      <c r="I364" s="53"/>
      <c r="J364" s="53"/>
      <c r="K364" s="12" t="s">
        <v>129</v>
      </c>
      <c r="L364" s="51">
        <v>175000</v>
      </c>
      <c r="M364" s="51">
        <f>-175000+112430</f>
        <v>-62570</v>
      </c>
      <c r="N364" s="60"/>
    </row>
    <row r="365" spans="1:14" ht="12" customHeight="1">
      <c r="A365" t="s">
        <v>19</v>
      </c>
      <c r="B365" s="6">
        <v>12297</v>
      </c>
      <c r="C365" s="2" t="s">
        <v>551</v>
      </c>
      <c r="D365" s="6">
        <v>131055</v>
      </c>
      <c r="E365" s="53">
        <v>42094</v>
      </c>
      <c r="F365" s="1" t="s">
        <v>552</v>
      </c>
      <c r="G365" s="113">
        <v>111934</v>
      </c>
      <c r="H365" s="62" t="s">
        <v>553</v>
      </c>
      <c r="I365" s="53">
        <v>41703</v>
      </c>
      <c r="J365" s="53"/>
      <c r="K365" s="12">
        <v>45688</v>
      </c>
      <c r="L365" s="51">
        <v>5000</v>
      </c>
      <c r="M365" s="51">
        <v>-5000</v>
      </c>
      <c r="N365" s="52" t="s">
        <v>554</v>
      </c>
    </row>
    <row r="366" spans="1:14" ht="12" customHeight="1">
      <c r="A366" t="s">
        <v>19</v>
      </c>
      <c r="B366" s="6">
        <v>12297</v>
      </c>
      <c r="C366" s="2" t="s">
        <v>551</v>
      </c>
      <c r="D366" s="6">
        <v>193232</v>
      </c>
      <c r="E366" s="53">
        <v>43281</v>
      </c>
      <c r="F366" s="1" t="s">
        <v>555</v>
      </c>
      <c r="G366" s="113">
        <v>923585</v>
      </c>
      <c r="H366" s="62" t="s">
        <v>556</v>
      </c>
      <c r="I366" s="53">
        <v>43238</v>
      </c>
      <c r="J366" s="53"/>
      <c r="K366" s="12">
        <v>43602</v>
      </c>
      <c r="L366" s="51">
        <v>123300</v>
      </c>
      <c r="M366" s="51">
        <f>-123300+114300</f>
        <v>-9000</v>
      </c>
      <c r="N366" s="52" t="s">
        <v>29</v>
      </c>
    </row>
    <row r="367" spans="1:14" ht="12" customHeight="1">
      <c r="A367" t="s">
        <v>19</v>
      </c>
      <c r="B367" s="6">
        <v>12297</v>
      </c>
      <c r="C367" s="2" t="s">
        <v>551</v>
      </c>
      <c r="D367" s="6">
        <v>193682</v>
      </c>
      <c r="E367" s="53">
        <v>43308</v>
      </c>
      <c r="F367" s="1" t="s">
        <v>557</v>
      </c>
      <c r="G367" s="113">
        <v>50800</v>
      </c>
      <c r="H367" s="62" t="s">
        <v>558</v>
      </c>
      <c r="I367" s="53">
        <v>43132</v>
      </c>
      <c r="J367" s="53"/>
      <c r="K367" s="12">
        <v>43496</v>
      </c>
      <c r="L367" s="51">
        <v>60000</v>
      </c>
      <c r="M367" s="51">
        <v>-60000</v>
      </c>
      <c r="N367" s="52" t="s">
        <v>29</v>
      </c>
    </row>
    <row r="368" spans="1:14" ht="12" customHeight="1">
      <c r="A368" t="s">
        <v>19</v>
      </c>
      <c r="B368" s="6">
        <v>12297</v>
      </c>
      <c r="C368" s="2" t="s">
        <v>551</v>
      </c>
      <c r="D368" s="6">
        <v>194970</v>
      </c>
      <c r="E368" s="53">
        <v>43347</v>
      </c>
      <c r="F368" s="1" t="s">
        <v>559</v>
      </c>
      <c r="G368" s="113">
        <v>250114</v>
      </c>
      <c r="H368" s="62" t="s">
        <v>560</v>
      </c>
      <c r="I368" s="53">
        <v>42989</v>
      </c>
      <c r="J368" s="53"/>
      <c r="K368" s="12">
        <v>44773</v>
      </c>
      <c r="L368" s="51">
        <v>8200</v>
      </c>
      <c r="M368" s="51">
        <f>-8200+3200+3486.33</f>
        <v>-1513.67</v>
      </c>
      <c r="N368" s="52" t="s">
        <v>35</v>
      </c>
    </row>
    <row r="369" spans="1:14" ht="12" customHeight="1">
      <c r="A369" t="s">
        <v>19</v>
      </c>
      <c r="B369" s="6">
        <v>12297</v>
      </c>
      <c r="C369" s="2" t="s">
        <v>551</v>
      </c>
      <c r="D369" s="6">
        <v>196439</v>
      </c>
      <c r="E369" s="53">
        <v>43424</v>
      </c>
      <c r="F369" s="1" t="s">
        <v>329</v>
      </c>
      <c r="G369" s="113">
        <v>926028</v>
      </c>
      <c r="H369" s="62" t="s">
        <v>561</v>
      </c>
      <c r="I369" s="53">
        <v>43419</v>
      </c>
      <c r="J369" s="53"/>
      <c r="K369" s="12">
        <v>44149</v>
      </c>
      <c r="L369" s="51">
        <v>90000</v>
      </c>
      <c r="M369" s="51">
        <f>-90000+90000</f>
        <v>0</v>
      </c>
      <c r="N369" s="52" t="s">
        <v>175</v>
      </c>
    </row>
    <row r="370" spans="1:14" ht="12" customHeight="1">
      <c r="A370" t="s">
        <v>19</v>
      </c>
      <c r="B370" s="6">
        <v>12297</v>
      </c>
      <c r="C370" s="2" t="s">
        <v>551</v>
      </c>
      <c r="D370" s="6">
        <v>197386</v>
      </c>
      <c r="E370" s="53">
        <v>43496</v>
      </c>
      <c r="F370" s="1" t="s">
        <v>562</v>
      </c>
      <c r="G370" s="113">
        <v>926560</v>
      </c>
      <c r="H370" s="62" t="s">
        <v>563</v>
      </c>
      <c r="I370" s="53">
        <v>43679</v>
      </c>
      <c r="J370" s="53"/>
      <c r="K370" s="12">
        <v>44044</v>
      </c>
      <c r="L370" s="51">
        <v>128850</v>
      </c>
      <c r="M370" s="51">
        <f>-128850+74500+12500+25365</f>
        <v>-16485</v>
      </c>
      <c r="N370" s="52" t="s">
        <v>29</v>
      </c>
    </row>
    <row r="371" spans="1:14" ht="12" customHeight="1">
      <c r="A371" t="s">
        <v>19</v>
      </c>
      <c r="B371" s="6">
        <v>12297</v>
      </c>
      <c r="C371" s="2" t="s">
        <v>551</v>
      </c>
      <c r="D371" s="6">
        <v>212163</v>
      </c>
      <c r="E371" s="53">
        <v>43686</v>
      </c>
      <c r="F371" s="1" t="s">
        <v>564</v>
      </c>
      <c r="G371" s="113">
        <v>928033</v>
      </c>
      <c r="H371" s="62" t="s">
        <v>565</v>
      </c>
      <c r="I371" s="53">
        <v>43617</v>
      </c>
      <c r="J371" s="53"/>
      <c r="K371" s="12">
        <v>43982</v>
      </c>
      <c r="L371" s="51">
        <v>31325</v>
      </c>
      <c r="M371" s="51">
        <v>-31325</v>
      </c>
      <c r="N371" s="52" t="s">
        <v>29</v>
      </c>
    </row>
    <row r="372" spans="1:14" ht="12" customHeight="1">
      <c r="A372" s="1" t="s">
        <v>19</v>
      </c>
      <c r="B372" s="6">
        <v>12297</v>
      </c>
      <c r="C372" s="2" t="s">
        <v>551</v>
      </c>
      <c r="D372" s="6">
        <v>214029</v>
      </c>
      <c r="E372" s="47">
        <v>43844</v>
      </c>
      <c r="F372" t="s">
        <v>566</v>
      </c>
      <c r="G372" s="113">
        <v>926098</v>
      </c>
      <c r="H372" s="62" t="s">
        <v>567</v>
      </c>
      <c r="I372" s="12">
        <v>43600</v>
      </c>
      <c r="J372" s="12"/>
      <c r="K372" s="12">
        <v>43966</v>
      </c>
      <c r="L372" s="51">
        <v>425630.4</v>
      </c>
      <c r="M372" s="51">
        <f>-425630.4+380148.47</f>
        <v>-45481.930000000051</v>
      </c>
      <c r="N372" s="52" t="s">
        <v>29</v>
      </c>
    </row>
    <row r="373" spans="1:14">
      <c r="A373" s="1" t="s">
        <v>19</v>
      </c>
      <c r="B373" s="6">
        <v>12297</v>
      </c>
      <c r="C373" s="2" t="s">
        <v>551</v>
      </c>
      <c r="D373" s="6">
        <v>214845</v>
      </c>
      <c r="E373" s="53">
        <v>43847</v>
      </c>
      <c r="F373" t="s">
        <v>568</v>
      </c>
      <c r="G373" s="113">
        <v>928251</v>
      </c>
      <c r="H373" s="62">
        <v>9246</v>
      </c>
      <c r="I373" s="12">
        <v>43709</v>
      </c>
      <c r="J373" s="12"/>
      <c r="K373" s="12">
        <v>45565</v>
      </c>
      <c r="L373" s="51">
        <v>20000</v>
      </c>
      <c r="M373" s="51">
        <v>-20000</v>
      </c>
      <c r="N373" s="52" t="s">
        <v>29</v>
      </c>
    </row>
    <row r="374" spans="1:14">
      <c r="A374" s="1" t="s">
        <v>19</v>
      </c>
      <c r="B374" s="6">
        <v>12297</v>
      </c>
      <c r="C374" s="2" t="s">
        <v>551</v>
      </c>
      <c r="D374" s="6">
        <v>219103</v>
      </c>
      <c r="E374" s="47">
        <v>44021</v>
      </c>
      <c r="F374" t="s">
        <v>397</v>
      </c>
      <c r="G374" s="113">
        <v>929235</v>
      </c>
      <c r="H374" s="62" t="s">
        <v>569</v>
      </c>
      <c r="I374" s="12">
        <v>43983</v>
      </c>
      <c r="J374" s="12"/>
      <c r="K374" s="12">
        <v>44558</v>
      </c>
      <c r="L374" s="51">
        <v>162000</v>
      </c>
      <c r="M374" s="51">
        <v>-162000</v>
      </c>
      <c r="N374" s="52" t="s">
        <v>100</v>
      </c>
    </row>
    <row r="375" spans="1:14">
      <c r="A375" s="1" t="s">
        <v>19</v>
      </c>
      <c r="B375" s="6">
        <v>12297</v>
      </c>
      <c r="C375" s="2" t="s">
        <v>551</v>
      </c>
      <c r="D375" s="6">
        <v>219104</v>
      </c>
      <c r="E375" s="47">
        <v>44021</v>
      </c>
      <c r="F375" t="s">
        <v>570</v>
      </c>
      <c r="G375" s="113">
        <v>930527</v>
      </c>
      <c r="H375" s="62" t="s">
        <v>571</v>
      </c>
      <c r="I375" s="12">
        <v>43862</v>
      </c>
      <c r="J375" s="12"/>
      <c r="K375" s="12">
        <v>44227</v>
      </c>
      <c r="L375" s="51">
        <v>100000</v>
      </c>
      <c r="M375" s="51">
        <v>-100000</v>
      </c>
      <c r="N375" s="52" t="s">
        <v>26</v>
      </c>
    </row>
    <row r="376" spans="1:14" ht="26.25">
      <c r="A376" s="1" t="s">
        <v>19</v>
      </c>
      <c r="B376" s="6">
        <v>12297</v>
      </c>
      <c r="C376" s="2" t="s">
        <v>551</v>
      </c>
      <c r="D376" s="6">
        <v>219106</v>
      </c>
      <c r="E376" s="47">
        <v>44022</v>
      </c>
      <c r="F376" t="s">
        <v>572</v>
      </c>
      <c r="G376" s="113">
        <v>931038</v>
      </c>
      <c r="H376" s="62">
        <v>9103</v>
      </c>
      <c r="I376" s="12">
        <v>43952</v>
      </c>
      <c r="J376" s="12"/>
      <c r="K376" s="12">
        <v>44316</v>
      </c>
      <c r="L376" s="51">
        <v>15000</v>
      </c>
      <c r="M376" s="51">
        <v>-15000</v>
      </c>
      <c r="N376" s="52" t="s">
        <v>573</v>
      </c>
    </row>
    <row r="377" spans="1:14">
      <c r="A377" t="s">
        <v>19</v>
      </c>
      <c r="B377" s="6">
        <v>12297</v>
      </c>
      <c r="C377" s="2" t="s">
        <v>551</v>
      </c>
      <c r="D377" s="6">
        <v>219107</v>
      </c>
      <c r="E377" s="47">
        <v>44022</v>
      </c>
      <c r="F377" t="s">
        <v>574</v>
      </c>
      <c r="G377" s="113">
        <v>929959</v>
      </c>
      <c r="H377" s="62" t="s">
        <v>575</v>
      </c>
      <c r="I377" s="12">
        <v>43770</v>
      </c>
      <c r="J377" s="12"/>
      <c r="K377" s="12">
        <v>44136</v>
      </c>
      <c r="L377" s="51">
        <v>45000</v>
      </c>
      <c r="M377" s="51">
        <v>-45000</v>
      </c>
      <c r="N377" s="52" t="s">
        <v>29</v>
      </c>
    </row>
    <row r="378" spans="1:14">
      <c r="A378" t="s">
        <v>19</v>
      </c>
      <c r="B378" s="6">
        <v>12297</v>
      </c>
      <c r="C378" s="2" t="s">
        <v>551</v>
      </c>
      <c r="D378" s="6">
        <v>219108</v>
      </c>
      <c r="E378" s="47">
        <v>44022</v>
      </c>
      <c r="F378" t="s">
        <v>576</v>
      </c>
      <c r="G378" s="113">
        <v>56151</v>
      </c>
      <c r="H378" s="62" t="s">
        <v>577</v>
      </c>
      <c r="I378" s="12">
        <v>44289</v>
      </c>
      <c r="J378" s="12"/>
      <c r="K378" s="12">
        <v>48306</v>
      </c>
      <c r="L378" s="51">
        <v>722848.5</v>
      </c>
      <c r="M378" s="51">
        <v>-722848.5</v>
      </c>
      <c r="N378" s="52" t="s">
        <v>578</v>
      </c>
    </row>
    <row r="379" spans="1:14">
      <c r="A379" t="s">
        <v>19</v>
      </c>
      <c r="B379" s="6">
        <v>12297</v>
      </c>
      <c r="C379" s="2" t="s">
        <v>551</v>
      </c>
      <c r="D379" s="6">
        <v>219118</v>
      </c>
      <c r="E379" s="47">
        <v>44025</v>
      </c>
      <c r="F379" t="s">
        <v>579</v>
      </c>
      <c r="G379" s="113">
        <v>111727</v>
      </c>
      <c r="H379" s="62" t="s">
        <v>580</v>
      </c>
      <c r="I379" s="12">
        <v>44013</v>
      </c>
      <c r="J379" s="12"/>
      <c r="K379" s="12"/>
      <c r="L379" s="51">
        <v>90000</v>
      </c>
      <c r="M379" s="51">
        <f>-90000+90000</f>
        <v>0</v>
      </c>
      <c r="N379" s="52" t="s">
        <v>26</v>
      </c>
    </row>
    <row r="380" spans="1:14">
      <c r="A380" t="s">
        <v>19</v>
      </c>
      <c r="B380" s="6">
        <v>12297</v>
      </c>
      <c r="C380" s="2" t="s">
        <v>551</v>
      </c>
      <c r="D380" s="6">
        <v>219114</v>
      </c>
      <c r="E380" s="47">
        <v>44022</v>
      </c>
      <c r="F380" t="s">
        <v>581</v>
      </c>
      <c r="G380" s="113">
        <v>929367</v>
      </c>
      <c r="H380" s="62" t="s">
        <v>582</v>
      </c>
      <c r="I380" s="12">
        <v>43862</v>
      </c>
      <c r="J380" s="12"/>
      <c r="K380" s="12">
        <v>44227</v>
      </c>
      <c r="L380" s="51">
        <v>50000</v>
      </c>
      <c r="M380" s="51">
        <v>-50000</v>
      </c>
      <c r="N380" s="52" t="s">
        <v>26</v>
      </c>
    </row>
    <row r="381" spans="1:14">
      <c r="A381" t="s">
        <v>19</v>
      </c>
      <c r="B381" s="6">
        <v>12297</v>
      </c>
      <c r="C381" s="2" t="s">
        <v>551</v>
      </c>
      <c r="D381" s="6">
        <v>219125</v>
      </c>
      <c r="E381" s="47">
        <v>44013</v>
      </c>
      <c r="F381" t="s">
        <v>583</v>
      </c>
      <c r="G381" s="113">
        <v>901843</v>
      </c>
      <c r="H381" s="62" t="s">
        <v>584</v>
      </c>
      <c r="I381" s="12">
        <v>43966</v>
      </c>
      <c r="J381" s="12"/>
      <c r="K381" s="12">
        <v>44561</v>
      </c>
      <c r="L381" s="51">
        <v>212820</v>
      </c>
      <c r="M381" s="51">
        <v>-212820</v>
      </c>
      <c r="N381" s="52"/>
    </row>
    <row r="382" spans="1:14">
      <c r="A382" t="s">
        <v>19</v>
      </c>
      <c r="B382" s="6">
        <v>12297</v>
      </c>
      <c r="C382" s="2" t="s">
        <v>551</v>
      </c>
      <c r="D382" s="6">
        <v>219119</v>
      </c>
      <c r="E382" s="47">
        <v>44042</v>
      </c>
      <c r="F382" t="s">
        <v>585</v>
      </c>
      <c r="G382" s="113">
        <v>931824</v>
      </c>
      <c r="H382" s="62" t="s">
        <v>586</v>
      </c>
      <c r="I382" s="12">
        <v>44025</v>
      </c>
      <c r="J382" s="12"/>
      <c r="K382" s="12">
        <v>44478</v>
      </c>
      <c r="L382" s="51">
        <v>100000</v>
      </c>
      <c r="M382" s="51">
        <v>-100000</v>
      </c>
      <c r="N382" s="52"/>
    </row>
    <row r="383" spans="1:14">
      <c r="A383" t="s">
        <v>19</v>
      </c>
      <c r="B383" s="79">
        <v>12297</v>
      </c>
      <c r="C383" s="56" t="s">
        <v>551</v>
      </c>
      <c r="D383" s="6">
        <v>222679</v>
      </c>
      <c r="E383" s="57">
        <v>44500</v>
      </c>
      <c r="F383" s="1" t="s">
        <v>587</v>
      </c>
      <c r="G383" s="113">
        <v>934724</v>
      </c>
      <c r="H383" s="63" t="s">
        <v>588</v>
      </c>
      <c r="I383" s="12">
        <v>44377</v>
      </c>
      <c r="J383" s="12"/>
      <c r="K383" s="12">
        <v>44926</v>
      </c>
      <c r="L383" s="51">
        <v>528425.5</v>
      </c>
      <c r="M383" s="51">
        <f>-528425.5+54000</f>
        <v>-474425.5</v>
      </c>
      <c r="N383" s="52"/>
    </row>
    <row r="384" spans="1:14">
      <c r="A384" t="s">
        <v>19</v>
      </c>
      <c r="B384" s="79">
        <v>12297</v>
      </c>
      <c r="C384" s="56" t="s">
        <v>551</v>
      </c>
      <c r="D384" s="6">
        <v>222682</v>
      </c>
      <c r="E384" s="57">
        <v>44500</v>
      </c>
      <c r="F384" s="1" t="s">
        <v>196</v>
      </c>
      <c r="G384" s="113">
        <v>936167</v>
      </c>
      <c r="H384" s="63" t="s">
        <v>589</v>
      </c>
      <c r="I384" s="12">
        <v>44442</v>
      </c>
      <c r="J384" s="12"/>
      <c r="K384" s="12">
        <v>48121</v>
      </c>
      <c r="L384" s="51">
        <v>540000</v>
      </c>
      <c r="M384" s="51">
        <f>-540000+486000</f>
        <v>-54000</v>
      </c>
      <c r="N384" s="52" t="s">
        <v>111</v>
      </c>
    </row>
    <row r="385" spans="1:14">
      <c r="A385" t="s">
        <v>19</v>
      </c>
      <c r="B385" s="79">
        <v>12297</v>
      </c>
      <c r="C385" s="56" t="s">
        <v>551</v>
      </c>
      <c r="D385" s="6">
        <v>222685</v>
      </c>
      <c r="E385" s="57">
        <v>44500</v>
      </c>
      <c r="F385" s="1" t="s">
        <v>590</v>
      </c>
      <c r="G385" s="113">
        <v>933858</v>
      </c>
      <c r="H385" s="63"/>
      <c r="I385" s="12"/>
      <c r="J385" s="12"/>
      <c r="K385" s="12" t="s">
        <v>129</v>
      </c>
      <c r="L385" s="51">
        <v>88270</v>
      </c>
      <c r="M385" s="51">
        <f>-88270+88270</f>
        <v>0</v>
      </c>
      <c r="N385" s="52"/>
    </row>
    <row r="386" spans="1:14">
      <c r="A386" t="s">
        <v>19</v>
      </c>
      <c r="B386" s="79">
        <v>12297</v>
      </c>
      <c r="C386" s="56" t="s">
        <v>551</v>
      </c>
      <c r="D386" s="6">
        <v>222795</v>
      </c>
      <c r="E386" s="57">
        <v>44530</v>
      </c>
      <c r="F386" s="1" t="s">
        <v>591</v>
      </c>
      <c r="G386" s="113">
        <v>903475</v>
      </c>
      <c r="H386" s="63" t="s">
        <v>592</v>
      </c>
      <c r="I386" s="12">
        <v>44518</v>
      </c>
      <c r="J386" s="12"/>
      <c r="K386" s="12">
        <v>44882</v>
      </c>
      <c r="L386" s="51">
        <v>350000</v>
      </c>
      <c r="M386" s="51">
        <v>-350000</v>
      </c>
      <c r="N386" s="52"/>
    </row>
    <row r="387" spans="1:14">
      <c r="A387" t="s">
        <v>19</v>
      </c>
      <c r="B387" s="79">
        <v>12297</v>
      </c>
      <c r="C387" s="56" t="s">
        <v>551</v>
      </c>
      <c r="D387" s="6">
        <v>222796</v>
      </c>
      <c r="E387" s="57">
        <v>44530</v>
      </c>
      <c r="F387" s="1" t="s">
        <v>593</v>
      </c>
      <c r="G387" s="113">
        <v>936917</v>
      </c>
      <c r="H387" s="63" t="s">
        <v>594</v>
      </c>
      <c r="I387" s="12">
        <v>44743</v>
      </c>
      <c r="J387" s="12"/>
      <c r="K387" s="12">
        <v>45107</v>
      </c>
      <c r="L387" s="51">
        <v>165000</v>
      </c>
      <c r="M387" s="51">
        <v>-165000</v>
      </c>
      <c r="N387" s="52"/>
    </row>
    <row r="388" spans="1:14">
      <c r="A388" t="s">
        <v>19</v>
      </c>
      <c r="B388" s="79">
        <v>12297</v>
      </c>
      <c r="C388" s="56" t="s">
        <v>551</v>
      </c>
      <c r="D388" s="6">
        <v>222799</v>
      </c>
      <c r="E388" s="57">
        <v>44530</v>
      </c>
      <c r="F388" s="1" t="s">
        <v>595</v>
      </c>
      <c r="G388" s="113">
        <v>936481</v>
      </c>
      <c r="H388" s="63">
        <v>9254</v>
      </c>
      <c r="I388" s="12">
        <v>44713</v>
      </c>
      <c r="J388" s="12"/>
      <c r="K388" s="12">
        <v>45077</v>
      </c>
      <c r="L388" s="51">
        <v>30000</v>
      </c>
      <c r="M388" s="51">
        <v>-30000</v>
      </c>
      <c r="N388" s="52"/>
    </row>
    <row r="389" spans="1:14">
      <c r="A389" t="s">
        <v>19</v>
      </c>
      <c r="B389" s="79">
        <v>12297</v>
      </c>
      <c r="C389" s="56" t="s">
        <v>551</v>
      </c>
      <c r="D389" s="6">
        <v>223071</v>
      </c>
      <c r="E389" s="57">
        <v>44561</v>
      </c>
      <c r="F389" s="1" t="s">
        <v>596</v>
      </c>
      <c r="G389" s="113">
        <v>933873</v>
      </c>
      <c r="H389" s="63" t="s">
        <v>597</v>
      </c>
      <c r="I389" s="12">
        <v>44286</v>
      </c>
      <c r="J389" s="12"/>
      <c r="K389" s="12">
        <v>44651</v>
      </c>
      <c r="L389" s="51">
        <v>75000</v>
      </c>
      <c r="M389" s="51">
        <v>-75000</v>
      </c>
      <c r="N389" s="52"/>
    </row>
    <row r="390" spans="1:14">
      <c r="A390" t="s">
        <v>19</v>
      </c>
      <c r="B390" s="79">
        <v>12297</v>
      </c>
      <c r="C390" s="56" t="s">
        <v>551</v>
      </c>
      <c r="D390" s="6">
        <v>223075</v>
      </c>
      <c r="E390" s="57">
        <v>44582</v>
      </c>
      <c r="F390" s="1" t="s">
        <v>598</v>
      </c>
      <c r="G390" s="113">
        <v>937119</v>
      </c>
      <c r="H390" s="63"/>
      <c r="I390" s="12"/>
      <c r="J390" s="12"/>
      <c r="K390" s="12" t="s">
        <v>129</v>
      </c>
      <c r="L390" s="51">
        <v>100000</v>
      </c>
      <c r="M390" s="51">
        <f>100000-100000</f>
        <v>0</v>
      </c>
      <c r="N390" s="52"/>
    </row>
    <row r="391" spans="1:14">
      <c r="A391" t="s">
        <v>19</v>
      </c>
      <c r="B391" s="79">
        <v>12297</v>
      </c>
      <c r="C391" s="56" t="s">
        <v>551</v>
      </c>
      <c r="D391" s="6">
        <v>223102</v>
      </c>
      <c r="E391" s="57">
        <v>44592</v>
      </c>
      <c r="F391" s="1" t="s">
        <v>599</v>
      </c>
      <c r="G391" s="113">
        <v>934146</v>
      </c>
      <c r="H391" s="63" t="s">
        <v>600</v>
      </c>
      <c r="I391" s="12">
        <v>44337</v>
      </c>
      <c r="J391" s="12"/>
      <c r="K391" s="12">
        <v>44712</v>
      </c>
      <c r="L391" s="51">
        <v>825000</v>
      </c>
      <c r="M391" s="51">
        <v>0</v>
      </c>
      <c r="N391" s="52"/>
    </row>
    <row r="392" spans="1:14">
      <c r="A392" t="s">
        <v>19</v>
      </c>
      <c r="B392" s="79">
        <v>12297</v>
      </c>
      <c r="C392" s="56" t="s">
        <v>551</v>
      </c>
      <c r="D392" s="6">
        <v>223130</v>
      </c>
      <c r="E392" s="57">
        <v>44592</v>
      </c>
      <c r="F392" s="1" t="s">
        <v>601</v>
      </c>
      <c r="G392" s="113">
        <v>937240</v>
      </c>
      <c r="H392" s="63">
        <v>1510</v>
      </c>
      <c r="I392" s="12">
        <v>44781</v>
      </c>
      <c r="J392" s="12"/>
      <c r="K392" s="12">
        <v>45145</v>
      </c>
      <c r="L392" s="51">
        <v>857828</v>
      </c>
      <c r="M392" s="51">
        <v>-857828</v>
      </c>
      <c r="N392" s="52"/>
    </row>
    <row r="393" spans="1:14">
      <c r="A393" t="s">
        <v>19</v>
      </c>
      <c r="B393" s="79">
        <v>12297</v>
      </c>
      <c r="C393" s="56" t="s">
        <v>551</v>
      </c>
      <c r="D393" s="6">
        <v>223134</v>
      </c>
      <c r="E393" s="57">
        <v>44592</v>
      </c>
      <c r="F393" s="1" t="s">
        <v>602</v>
      </c>
      <c r="G393" s="113">
        <v>937744</v>
      </c>
      <c r="H393" s="63" t="s">
        <v>43</v>
      </c>
      <c r="I393" s="12">
        <v>44666</v>
      </c>
      <c r="J393" s="12"/>
      <c r="K393" s="12">
        <v>45396</v>
      </c>
      <c r="L393" s="51">
        <v>50000</v>
      </c>
      <c r="M393" s="51">
        <v>-50000</v>
      </c>
      <c r="N393" s="52"/>
    </row>
    <row r="394" spans="1:14">
      <c r="A394" t="s">
        <v>19</v>
      </c>
      <c r="B394" s="79">
        <v>12297</v>
      </c>
      <c r="C394" s="56" t="s">
        <v>551</v>
      </c>
      <c r="D394" s="6">
        <v>223574</v>
      </c>
      <c r="E394" s="57">
        <v>44592</v>
      </c>
      <c r="F394" s="1" t="s">
        <v>603</v>
      </c>
      <c r="G394" s="113">
        <v>937833</v>
      </c>
      <c r="H394" s="63">
        <v>9265</v>
      </c>
      <c r="I394" s="12">
        <v>44774</v>
      </c>
      <c r="J394" s="12"/>
      <c r="K394" s="12">
        <v>45138</v>
      </c>
      <c r="L394" s="51">
        <v>40000</v>
      </c>
      <c r="M394" s="51">
        <v>-40000</v>
      </c>
      <c r="N394" s="52"/>
    </row>
    <row r="395" spans="1:14">
      <c r="A395" t="s">
        <v>120</v>
      </c>
      <c r="B395" s="79">
        <v>12298</v>
      </c>
      <c r="C395" s="56" t="s">
        <v>604</v>
      </c>
      <c r="D395" s="6">
        <v>137945</v>
      </c>
      <c r="E395" s="57">
        <v>42216</v>
      </c>
      <c r="F395" s="1" t="s">
        <v>605</v>
      </c>
      <c r="G395" s="113">
        <v>910393</v>
      </c>
      <c r="H395" s="63">
        <v>113</v>
      </c>
      <c r="I395" s="12">
        <v>42215</v>
      </c>
      <c r="J395" s="12"/>
      <c r="K395" s="12">
        <v>43343</v>
      </c>
      <c r="L395" s="51">
        <v>0</v>
      </c>
      <c r="M395" s="51">
        <f>-86800+95500-9700</f>
        <v>-1000</v>
      </c>
      <c r="N395" s="64" t="s">
        <v>258</v>
      </c>
    </row>
    <row r="396" spans="1:14">
      <c r="A396" t="s">
        <v>120</v>
      </c>
      <c r="B396" s="79">
        <v>12298</v>
      </c>
      <c r="C396" s="56" t="s">
        <v>604</v>
      </c>
      <c r="D396" s="6">
        <v>131067</v>
      </c>
      <c r="E396" s="57" t="s">
        <v>127</v>
      </c>
      <c r="F396" s="1" t="s">
        <v>606</v>
      </c>
      <c r="G396" s="113">
        <v>905263</v>
      </c>
      <c r="H396" s="63">
        <v>165</v>
      </c>
      <c r="I396" s="12">
        <v>42064</v>
      </c>
      <c r="J396" s="12"/>
      <c r="K396" s="12">
        <v>42429</v>
      </c>
      <c r="L396" s="51">
        <v>0</v>
      </c>
      <c r="M396" s="51">
        <v>-32093</v>
      </c>
      <c r="N396" s="64" t="s">
        <v>188</v>
      </c>
    </row>
    <row r="397" spans="1:14">
      <c r="A397" t="s">
        <v>120</v>
      </c>
      <c r="B397" s="79">
        <v>12298</v>
      </c>
      <c r="C397" s="56" t="s">
        <v>604</v>
      </c>
      <c r="D397" s="6">
        <v>129134</v>
      </c>
      <c r="E397" s="47">
        <v>41943</v>
      </c>
      <c r="F397" t="s">
        <v>607</v>
      </c>
      <c r="G397" s="113">
        <v>905586</v>
      </c>
      <c r="H397" s="6">
        <v>272</v>
      </c>
      <c r="I397" s="12">
        <v>41916</v>
      </c>
      <c r="J397" s="12"/>
      <c r="K397" s="12">
        <v>42280</v>
      </c>
      <c r="L397" s="51">
        <v>0</v>
      </c>
      <c r="M397" s="51">
        <f>-20000+18025.35</f>
        <v>-1974.6500000000015</v>
      </c>
      <c r="N397" s="64" t="s">
        <v>188</v>
      </c>
    </row>
    <row r="398" spans="1:14" ht="26.25">
      <c r="A398" t="s">
        <v>120</v>
      </c>
      <c r="B398" s="79">
        <v>12298</v>
      </c>
      <c r="C398" s="56" t="s">
        <v>604</v>
      </c>
      <c r="D398" s="6">
        <v>110201</v>
      </c>
      <c r="E398" s="47">
        <v>42844</v>
      </c>
      <c r="F398" t="s">
        <v>608</v>
      </c>
      <c r="G398" s="113" t="s">
        <v>609</v>
      </c>
      <c r="H398" s="6">
        <v>126</v>
      </c>
      <c r="I398" s="12">
        <v>41515</v>
      </c>
      <c r="J398" s="12"/>
      <c r="K398" s="12" t="s">
        <v>129</v>
      </c>
      <c r="L398" s="51">
        <v>0</v>
      </c>
      <c r="M398" s="51">
        <v>24420</v>
      </c>
      <c r="N398" s="64" t="s">
        <v>610</v>
      </c>
    </row>
    <row r="399" spans="1:14" ht="39">
      <c r="A399" t="s">
        <v>120</v>
      </c>
      <c r="B399" s="79">
        <v>12298</v>
      </c>
      <c r="C399" s="56" t="s">
        <v>604</v>
      </c>
      <c r="D399" s="6">
        <v>131060</v>
      </c>
      <c r="E399" s="47">
        <v>42207</v>
      </c>
      <c r="F399" t="s">
        <v>611</v>
      </c>
      <c r="G399" s="113">
        <v>905263</v>
      </c>
      <c r="H399" s="6">
        <v>165</v>
      </c>
      <c r="I399" s="12">
        <v>42064</v>
      </c>
      <c r="J399" s="12"/>
      <c r="K399" s="12">
        <v>42429</v>
      </c>
      <c r="L399" s="51">
        <v>0</v>
      </c>
      <c r="M399" s="51">
        <f>-121666.66+166666.66</f>
        <v>45000</v>
      </c>
      <c r="N399" s="64" t="s">
        <v>612</v>
      </c>
    </row>
    <row r="400" spans="1:14">
      <c r="A400" t="s">
        <v>19</v>
      </c>
      <c r="B400" s="79">
        <v>12303</v>
      </c>
      <c r="C400" s="56" t="s">
        <v>613</v>
      </c>
      <c r="D400" s="6">
        <v>192087</v>
      </c>
      <c r="E400" s="47">
        <v>43220</v>
      </c>
      <c r="F400" t="s">
        <v>614</v>
      </c>
      <c r="G400" s="113">
        <v>914376</v>
      </c>
      <c r="H400" s="6">
        <v>1170</v>
      </c>
      <c r="I400" s="12">
        <v>43204</v>
      </c>
      <c r="J400" s="12"/>
      <c r="K400" s="12">
        <v>43921</v>
      </c>
      <c r="L400" s="51">
        <v>17000</v>
      </c>
      <c r="M400" s="51">
        <v>-17000</v>
      </c>
      <c r="N400" s="52" t="s">
        <v>35</v>
      </c>
    </row>
    <row r="401" spans="1:14" ht="26.25">
      <c r="A401" t="s">
        <v>19</v>
      </c>
      <c r="B401" s="79">
        <v>12303</v>
      </c>
      <c r="C401" s="80" t="s">
        <v>613</v>
      </c>
      <c r="D401" s="6">
        <v>197393</v>
      </c>
      <c r="E401" s="47">
        <v>43500</v>
      </c>
      <c r="F401" s="47" t="s">
        <v>615</v>
      </c>
      <c r="G401" s="113">
        <v>926558</v>
      </c>
      <c r="H401" s="6">
        <v>1120</v>
      </c>
      <c r="I401" s="12">
        <v>43586</v>
      </c>
      <c r="J401" s="12"/>
      <c r="K401" s="12">
        <v>43978</v>
      </c>
      <c r="L401" s="51">
        <v>275000</v>
      </c>
      <c r="M401" s="51">
        <f>-275000-91544.43+275000</f>
        <v>-91544.43</v>
      </c>
      <c r="N401" s="52" t="s">
        <v>80</v>
      </c>
    </row>
    <row r="402" spans="1:14">
      <c r="A402" t="s">
        <v>19</v>
      </c>
      <c r="B402" s="79">
        <v>12303</v>
      </c>
      <c r="C402" s="80" t="s">
        <v>613</v>
      </c>
      <c r="D402" s="6">
        <v>221661</v>
      </c>
      <c r="E402" s="47">
        <v>44377</v>
      </c>
      <c r="F402" s="47" t="s">
        <v>616</v>
      </c>
      <c r="G402" s="113">
        <v>934219</v>
      </c>
      <c r="H402" s="6">
        <v>1515</v>
      </c>
      <c r="I402" s="12">
        <v>44309</v>
      </c>
      <c r="J402" s="12"/>
      <c r="K402" s="12">
        <v>47968</v>
      </c>
      <c r="L402" s="51">
        <v>20000</v>
      </c>
      <c r="M402" s="51">
        <f>-200000+200000</f>
        <v>0</v>
      </c>
      <c r="N402" s="52"/>
    </row>
    <row r="403" spans="1:14">
      <c r="A403" t="s">
        <v>19</v>
      </c>
      <c r="B403" s="79">
        <v>12303</v>
      </c>
      <c r="C403" s="80" t="s">
        <v>613</v>
      </c>
      <c r="D403" s="6">
        <v>221662</v>
      </c>
      <c r="E403" s="47">
        <v>44377</v>
      </c>
      <c r="F403" t="s">
        <v>75</v>
      </c>
      <c r="G403" s="113">
        <v>931969</v>
      </c>
      <c r="H403" s="6">
        <v>1585</v>
      </c>
      <c r="I403" s="12">
        <v>44181</v>
      </c>
      <c r="J403" s="12"/>
      <c r="K403" s="12">
        <v>47999</v>
      </c>
      <c r="L403" s="51">
        <v>212040</v>
      </c>
      <c r="M403" s="51">
        <f>-212040+212040</f>
        <v>0</v>
      </c>
      <c r="N403" s="52"/>
    </row>
    <row r="404" spans="1:14" ht="51.75">
      <c r="A404" t="s">
        <v>19</v>
      </c>
      <c r="B404" s="6">
        <v>12303</v>
      </c>
      <c r="C404" s="2" t="s">
        <v>613</v>
      </c>
      <c r="D404" s="6">
        <v>214030</v>
      </c>
      <c r="E404" s="53">
        <v>43858</v>
      </c>
      <c r="F404" t="s">
        <v>617</v>
      </c>
      <c r="G404" s="113">
        <v>928994</v>
      </c>
      <c r="H404" s="62">
        <v>1030</v>
      </c>
      <c r="I404" s="53">
        <v>43770</v>
      </c>
      <c r="J404" s="53"/>
      <c r="K404" s="12">
        <v>44135</v>
      </c>
      <c r="L404" s="51">
        <v>150000</v>
      </c>
      <c r="M404" s="51">
        <f>-150000+45000+45000+22500+60000-60000+60000</f>
        <v>22500</v>
      </c>
      <c r="N404" s="52" t="s">
        <v>618</v>
      </c>
    </row>
    <row r="405" spans="1:14">
      <c r="A405" t="s">
        <v>19</v>
      </c>
      <c r="B405" s="6">
        <v>12303</v>
      </c>
      <c r="C405" s="2" t="s">
        <v>613</v>
      </c>
      <c r="D405" s="6">
        <v>220762</v>
      </c>
      <c r="E405" s="53">
        <v>44469</v>
      </c>
      <c r="F405" t="s">
        <v>619</v>
      </c>
      <c r="G405" s="113">
        <v>930566</v>
      </c>
      <c r="H405" s="62">
        <v>1633</v>
      </c>
      <c r="I405" s="53">
        <v>44016</v>
      </c>
      <c r="J405" s="53"/>
      <c r="K405" s="12">
        <v>44077</v>
      </c>
      <c r="L405" s="51"/>
      <c r="M405" s="51">
        <f>80000-80000</f>
        <v>0</v>
      </c>
      <c r="N405" s="52"/>
    </row>
    <row r="406" spans="1:14" ht="26.25">
      <c r="A406" t="s">
        <v>19</v>
      </c>
      <c r="B406" s="6">
        <v>12303</v>
      </c>
      <c r="C406" s="2" t="s">
        <v>613</v>
      </c>
      <c r="D406" s="6">
        <v>222864</v>
      </c>
      <c r="E406" s="53">
        <v>44630</v>
      </c>
      <c r="F406" t="s">
        <v>620</v>
      </c>
      <c r="G406" s="113">
        <v>933908</v>
      </c>
      <c r="H406" s="62">
        <v>1595</v>
      </c>
      <c r="I406" s="53">
        <v>44325</v>
      </c>
      <c r="J406" s="53"/>
      <c r="K406" s="12">
        <v>44895</v>
      </c>
      <c r="L406" s="51">
        <v>900000</v>
      </c>
      <c r="M406" s="51">
        <v>-805000</v>
      </c>
      <c r="N406" s="52" t="s">
        <v>621</v>
      </c>
    </row>
    <row r="407" spans="1:14">
      <c r="A407" t="s">
        <v>19</v>
      </c>
      <c r="B407" s="6">
        <v>12303</v>
      </c>
      <c r="C407" s="2" t="s">
        <v>613</v>
      </c>
      <c r="D407" s="6">
        <v>222602</v>
      </c>
      <c r="E407" s="53">
        <v>44651</v>
      </c>
      <c r="F407" t="s">
        <v>622</v>
      </c>
      <c r="G407" s="113">
        <v>934618</v>
      </c>
      <c r="H407" s="62">
        <v>1623</v>
      </c>
      <c r="I407" s="53">
        <v>44440</v>
      </c>
      <c r="J407" s="53"/>
      <c r="K407" s="12">
        <v>45169</v>
      </c>
      <c r="L407" s="51">
        <v>125000</v>
      </c>
      <c r="M407" s="51">
        <f>-125000</f>
        <v>-125000</v>
      </c>
      <c r="N407" s="52"/>
    </row>
    <row r="408" spans="1:14">
      <c r="A408" t="s">
        <v>19</v>
      </c>
      <c r="B408" s="6">
        <v>12303</v>
      </c>
      <c r="C408" s="2" t="s">
        <v>613</v>
      </c>
      <c r="D408" s="6">
        <v>223690</v>
      </c>
      <c r="E408" s="53">
        <v>44651</v>
      </c>
      <c r="F408" t="s">
        <v>623</v>
      </c>
      <c r="G408" s="113">
        <v>910166</v>
      </c>
      <c r="H408" s="62">
        <v>2040</v>
      </c>
      <c r="I408" s="53">
        <v>44228</v>
      </c>
      <c r="J408" s="53"/>
      <c r="K408" s="12">
        <v>45688</v>
      </c>
      <c r="L408" s="51">
        <v>186050</v>
      </c>
      <c r="M408" s="51">
        <v>-186050</v>
      </c>
      <c r="N408" s="52"/>
    </row>
    <row r="409" spans="1:14">
      <c r="A409" t="s">
        <v>19</v>
      </c>
      <c r="B409" s="6">
        <v>12305</v>
      </c>
      <c r="C409" s="2" t="s">
        <v>624</v>
      </c>
      <c r="D409" s="6">
        <v>150644</v>
      </c>
      <c r="E409" s="53">
        <v>42566</v>
      </c>
      <c r="F409" t="s">
        <v>259</v>
      </c>
      <c r="G409" s="113">
        <v>43341</v>
      </c>
      <c r="H409" s="62" t="s">
        <v>625</v>
      </c>
      <c r="I409" s="12">
        <v>42461</v>
      </c>
      <c r="J409" s="12"/>
      <c r="K409" s="12">
        <v>43861</v>
      </c>
      <c r="L409" s="51">
        <v>82396.17</v>
      </c>
      <c r="M409" s="51">
        <v>-173</v>
      </c>
      <c r="N409" s="60" t="s">
        <v>626</v>
      </c>
    </row>
    <row r="410" spans="1:14" ht="26.25">
      <c r="A410" t="s">
        <v>19</v>
      </c>
      <c r="B410" s="6">
        <v>12305</v>
      </c>
      <c r="C410" s="2" t="s">
        <v>624</v>
      </c>
      <c r="D410" s="6">
        <v>188216</v>
      </c>
      <c r="E410" s="47">
        <v>43039</v>
      </c>
      <c r="F410" s="47" t="s">
        <v>627</v>
      </c>
      <c r="G410" s="113">
        <v>919322</v>
      </c>
      <c r="H410" s="62" t="s">
        <v>628</v>
      </c>
      <c r="I410" s="12">
        <v>43009</v>
      </c>
      <c r="J410" s="12"/>
      <c r="K410" s="12">
        <v>43373</v>
      </c>
      <c r="L410" s="51">
        <v>15000</v>
      </c>
      <c r="M410" s="51">
        <v>-15000</v>
      </c>
      <c r="N410" s="59" t="s">
        <v>629</v>
      </c>
    </row>
    <row r="411" spans="1:14">
      <c r="A411" t="s">
        <v>19</v>
      </c>
      <c r="B411" s="6">
        <v>12305</v>
      </c>
      <c r="C411" s="2" t="s">
        <v>624</v>
      </c>
      <c r="D411" s="6">
        <v>198200</v>
      </c>
      <c r="E411" s="47">
        <v>43572</v>
      </c>
      <c r="F411" s="47" t="s">
        <v>191</v>
      </c>
      <c r="G411" s="113">
        <v>925411</v>
      </c>
      <c r="H411" s="62">
        <v>167</v>
      </c>
      <c r="I411" s="12">
        <v>43586</v>
      </c>
      <c r="J411" s="12"/>
      <c r="K411" s="12" t="s">
        <v>129</v>
      </c>
      <c r="L411" s="51">
        <v>1339360</v>
      </c>
      <c r="M411" s="51">
        <f>-1339360-160+446506.67+893013.33</f>
        <v>0</v>
      </c>
      <c r="N411" s="52" t="s">
        <v>111</v>
      </c>
    </row>
    <row r="412" spans="1:14">
      <c r="A412" t="s">
        <v>19</v>
      </c>
      <c r="B412" s="6">
        <v>12305</v>
      </c>
      <c r="C412" s="2" t="s">
        <v>624</v>
      </c>
      <c r="D412" s="6">
        <v>211700</v>
      </c>
      <c r="E412" s="47">
        <v>43657</v>
      </c>
      <c r="F412" s="47" t="s">
        <v>630</v>
      </c>
      <c r="G412" s="113">
        <v>928047</v>
      </c>
      <c r="H412" s="62">
        <v>159</v>
      </c>
      <c r="I412" s="12">
        <v>43616</v>
      </c>
      <c r="J412" s="12"/>
      <c r="K412" s="12">
        <v>43983</v>
      </c>
      <c r="L412" s="51">
        <v>25000</v>
      </c>
      <c r="M412" s="51">
        <f>-25000+16534.76-16013.92+16013.92</f>
        <v>-8465.2400000000034</v>
      </c>
      <c r="N412" s="52" t="s">
        <v>29</v>
      </c>
    </row>
    <row r="413" spans="1:14">
      <c r="A413" t="s">
        <v>19</v>
      </c>
      <c r="B413" s="6">
        <v>12305</v>
      </c>
      <c r="C413" s="2" t="s">
        <v>624</v>
      </c>
      <c r="D413" s="6">
        <v>214745</v>
      </c>
      <c r="E413" s="47">
        <v>43832</v>
      </c>
      <c r="F413" s="47" t="s">
        <v>631</v>
      </c>
      <c r="G413" s="113">
        <v>913867</v>
      </c>
      <c r="H413" s="62" t="s">
        <v>632</v>
      </c>
      <c r="I413" s="12">
        <v>43556</v>
      </c>
      <c r="J413" s="12"/>
      <c r="K413" s="12">
        <v>43922</v>
      </c>
      <c r="L413" s="51">
        <v>5000</v>
      </c>
      <c r="M413" s="51">
        <v>-5000</v>
      </c>
      <c r="N413" s="52" t="s">
        <v>29</v>
      </c>
    </row>
    <row r="414" spans="1:14">
      <c r="A414" t="s">
        <v>19</v>
      </c>
      <c r="B414" s="6">
        <v>12305</v>
      </c>
      <c r="C414" s="2" t="s">
        <v>624</v>
      </c>
      <c r="D414" s="6">
        <v>214846</v>
      </c>
      <c r="E414" s="47">
        <v>43847</v>
      </c>
      <c r="F414" s="47" t="s">
        <v>633</v>
      </c>
      <c r="G414" s="113">
        <v>905257</v>
      </c>
      <c r="H414" s="62">
        <v>9242</v>
      </c>
      <c r="I414" s="12">
        <v>43770</v>
      </c>
      <c r="J414" s="12"/>
      <c r="K414" s="12">
        <v>44136</v>
      </c>
      <c r="L414" s="51">
        <v>10000</v>
      </c>
      <c r="M414" s="51">
        <v>-10000</v>
      </c>
      <c r="N414" s="52" t="s">
        <v>29</v>
      </c>
    </row>
    <row r="415" spans="1:14">
      <c r="A415" t="s">
        <v>19</v>
      </c>
      <c r="B415" s="6">
        <v>12305</v>
      </c>
      <c r="C415" s="2" t="s">
        <v>624</v>
      </c>
      <c r="D415" s="6">
        <v>214998</v>
      </c>
      <c r="E415" s="47">
        <v>43857</v>
      </c>
      <c r="F415" s="47" t="s">
        <v>634</v>
      </c>
      <c r="G415" s="113">
        <v>928965</v>
      </c>
      <c r="H415" s="62" t="s">
        <v>635</v>
      </c>
      <c r="I415" s="12">
        <v>43795</v>
      </c>
      <c r="J415" s="12"/>
      <c r="K415" s="12">
        <v>44161</v>
      </c>
      <c r="L415" s="51">
        <v>35000</v>
      </c>
      <c r="M415" s="51">
        <v>-35000</v>
      </c>
      <c r="N415" s="52" t="s">
        <v>29</v>
      </c>
    </row>
    <row r="416" spans="1:14">
      <c r="A416" t="s">
        <v>19</v>
      </c>
      <c r="B416" s="6">
        <v>12305</v>
      </c>
      <c r="C416" s="2" t="s">
        <v>624</v>
      </c>
      <c r="D416" s="6">
        <v>215863</v>
      </c>
      <c r="E416" s="47">
        <v>43892</v>
      </c>
      <c r="F416" s="47" t="s">
        <v>636</v>
      </c>
      <c r="G416" s="113">
        <v>931011</v>
      </c>
      <c r="H416" s="62" t="s">
        <v>637</v>
      </c>
      <c r="I416" s="12">
        <v>43952</v>
      </c>
      <c r="J416" s="12"/>
      <c r="K416" s="12" t="s">
        <v>129</v>
      </c>
      <c r="L416" s="51">
        <v>110000</v>
      </c>
      <c r="M416" s="51">
        <f>-110000+55000+55000</f>
        <v>0</v>
      </c>
      <c r="N416" s="52" t="s">
        <v>537</v>
      </c>
    </row>
    <row r="417" spans="1:14">
      <c r="A417" t="s">
        <v>19</v>
      </c>
      <c r="B417" s="6">
        <v>12305</v>
      </c>
      <c r="C417" s="2" t="s">
        <v>624</v>
      </c>
      <c r="D417" s="6">
        <v>220820</v>
      </c>
      <c r="E417" s="47">
        <v>44286</v>
      </c>
      <c r="F417" s="47" t="s">
        <v>638</v>
      </c>
      <c r="G417" s="113">
        <v>933907</v>
      </c>
      <c r="H417" s="62"/>
      <c r="I417" s="12"/>
      <c r="J417" s="12"/>
      <c r="K417" s="12" t="s">
        <v>129</v>
      </c>
      <c r="L417" s="51">
        <v>50000</v>
      </c>
      <c r="M417" s="51">
        <f>-50000+50000</f>
        <v>0</v>
      </c>
      <c r="N417" s="52"/>
    </row>
    <row r="418" spans="1:14">
      <c r="A418" t="s">
        <v>19</v>
      </c>
      <c r="B418" s="6">
        <v>12305</v>
      </c>
      <c r="C418" s="2" t="s">
        <v>624</v>
      </c>
      <c r="D418" s="6">
        <v>221850</v>
      </c>
      <c r="E418" s="47"/>
      <c r="F418" s="47" t="s">
        <v>639</v>
      </c>
      <c r="G418" s="113">
        <v>932814</v>
      </c>
      <c r="H418" s="62"/>
      <c r="K418" s="12" t="s">
        <v>129</v>
      </c>
      <c r="L418" s="51">
        <v>813200</v>
      </c>
      <c r="M418" s="51">
        <f>213959.7+30000.3-813200</f>
        <v>-569240</v>
      </c>
      <c r="N418" s="60"/>
    </row>
    <row r="419" spans="1:14">
      <c r="A419" t="s">
        <v>19</v>
      </c>
      <c r="B419" s="6">
        <v>12305</v>
      </c>
      <c r="C419" s="2" t="s">
        <v>624</v>
      </c>
      <c r="D419" s="6">
        <v>222013</v>
      </c>
      <c r="E419" s="47">
        <v>44440</v>
      </c>
      <c r="F419" s="47" t="s">
        <v>447</v>
      </c>
      <c r="G419" s="113">
        <v>932500</v>
      </c>
      <c r="H419" s="62"/>
      <c r="K419" s="12" t="s">
        <v>129</v>
      </c>
      <c r="L419" s="51">
        <v>450000</v>
      </c>
      <c r="M419" s="51">
        <f>-450000+150000</f>
        <v>-300000</v>
      </c>
      <c r="N419" s="60"/>
    </row>
    <row r="420" spans="1:14">
      <c r="A420" t="s">
        <v>19</v>
      </c>
      <c r="B420" s="6">
        <v>12305</v>
      </c>
      <c r="C420" s="2" t="s">
        <v>624</v>
      </c>
      <c r="D420" s="6">
        <v>222947</v>
      </c>
      <c r="E420" s="47">
        <v>44530</v>
      </c>
      <c r="F420" s="47" t="s">
        <v>640</v>
      </c>
      <c r="G420" s="113" t="s">
        <v>641</v>
      </c>
      <c r="H420" s="62" t="s">
        <v>642</v>
      </c>
      <c r="I420" s="7">
        <v>44256</v>
      </c>
      <c r="K420" s="12" t="s">
        <v>129</v>
      </c>
      <c r="L420" s="51"/>
      <c r="M420" s="51">
        <v>-30000</v>
      </c>
      <c r="N420" s="60"/>
    </row>
    <row r="421" spans="1:14" ht="64.5">
      <c r="A421" t="s">
        <v>19</v>
      </c>
      <c r="B421" s="6">
        <v>12306</v>
      </c>
      <c r="C421" s="2" t="s">
        <v>643</v>
      </c>
      <c r="D421" s="6">
        <v>183508</v>
      </c>
      <c r="E421" s="47">
        <v>42782</v>
      </c>
      <c r="F421" s="47" t="s">
        <v>644</v>
      </c>
      <c r="G421" s="113">
        <v>917173</v>
      </c>
      <c r="H421" s="62" t="s">
        <v>645</v>
      </c>
      <c r="I421" s="7">
        <v>42826</v>
      </c>
      <c r="K421" s="12">
        <v>46477</v>
      </c>
      <c r="L421" s="51">
        <v>590000</v>
      </c>
      <c r="M421" s="51">
        <f>-590000+15695.78+34278.35+131507.32+49974.13+213393.75+36180+57643.92+12204+4796.56</f>
        <v>-34326.189999999988</v>
      </c>
      <c r="N421" s="60" t="s">
        <v>646</v>
      </c>
    </row>
    <row r="422" spans="1:14">
      <c r="A422"/>
      <c r="B422" s="6">
        <v>12307</v>
      </c>
      <c r="C422" s="2" t="s">
        <v>647</v>
      </c>
      <c r="D422" s="6">
        <v>221196</v>
      </c>
      <c r="E422" s="53">
        <v>44302</v>
      </c>
      <c r="F422" t="s">
        <v>648</v>
      </c>
      <c r="G422" s="113">
        <v>932907</v>
      </c>
      <c r="H422" s="62">
        <v>100</v>
      </c>
      <c r="I422" s="53"/>
      <c r="J422" s="53"/>
      <c r="K422" s="12" t="s">
        <v>129</v>
      </c>
      <c r="L422" s="51">
        <v>359360</v>
      </c>
      <c r="M422" s="51">
        <f>-359360</f>
        <v>-359360</v>
      </c>
      <c r="N422" s="60"/>
    </row>
    <row r="423" spans="1:14">
      <c r="A423"/>
      <c r="B423" s="6">
        <v>12307</v>
      </c>
      <c r="C423" s="2" t="s">
        <v>647</v>
      </c>
      <c r="D423" s="6">
        <v>221904</v>
      </c>
      <c r="E423" s="53"/>
      <c r="F423" t="s">
        <v>648</v>
      </c>
      <c r="G423" s="113">
        <v>932907</v>
      </c>
      <c r="H423" s="62">
        <v>404</v>
      </c>
      <c r="I423" s="53"/>
      <c r="J423" s="53"/>
      <c r="K423" s="12" t="s">
        <v>129</v>
      </c>
      <c r="L423" s="51"/>
      <c r="M423" s="51">
        <f>48017.95-48017.95</f>
        <v>0</v>
      </c>
      <c r="N423" s="60" t="s">
        <v>649</v>
      </c>
    </row>
    <row r="424" spans="1:14">
      <c r="A424" t="s">
        <v>19</v>
      </c>
      <c r="B424" s="6">
        <v>12315</v>
      </c>
      <c r="C424" s="2" t="s">
        <v>650</v>
      </c>
      <c r="D424" s="6">
        <v>215397</v>
      </c>
      <c r="E424" s="53">
        <v>43872</v>
      </c>
      <c r="F424" t="s">
        <v>651</v>
      </c>
      <c r="G424" s="113">
        <v>928979</v>
      </c>
      <c r="H424" s="62">
        <v>1260</v>
      </c>
      <c r="I424" s="53">
        <v>43789</v>
      </c>
      <c r="J424" s="53"/>
      <c r="K424" s="12">
        <v>43789</v>
      </c>
      <c r="L424" s="51">
        <v>15000</v>
      </c>
      <c r="M424" s="51">
        <v>-15000</v>
      </c>
      <c r="N424" s="60" t="s">
        <v>29</v>
      </c>
    </row>
    <row r="425" spans="1:14">
      <c r="A425" t="s">
        <v>19</v>
      </c>
      <c r="B425" s="6">
        <v>12317</v>
      </c>
      <c r="C425" s="2" t="s">
        <v>652</v>
      </c>
      <c r="D425" s="61" t="s">
        <v>129</v>
      </c>
      <c r="E425" s="53" t="s">
        <v>127</v>
      </c>
      <c r="F425" t="s">
        <v>653</v>
      </c>
      <c r="G425" s="113" t="s">
        <v>129</v>
      </c>
      <c r="H425" s="62">
        <v>2100</v>
      </c>
      <c r="I425" s="53" t="s">
        <v>129</v>
      </c>
      <c r="J425" s="53"/>
      <c r="K425" s="12" t="s">
        <v>129</v>
      </c>
      <c r="L425" s="51"/>
      <c r="M425" s="51">
        <f>-93578+50000</f>
        <v>-43578</v>
      </c>
      <c r="N425" s="52" t="s">
        <v>654</v>
      </c>
    </row>
    <row r="426" spans="1:14">
      <c r="A426" t="s">
        <v>19</v>
      </c>
      <c r="B426" s="6">
        <v>12317</v>
      </c>
      <c r="C426" s="2" t="s">
        <v>652</v>
      </c>
      <c r="D426" s="61" t="s">
        <v>129</v>
      </c>
      <c r="E426" s="53" t="s">
        <v>127</v>
      </c>
      <c r="F426" t="s">
        <v>653</v>
      </c>
      <c r="G426" s="113" t="s">
        <v>129</v>
      </c>
      <c r="H426" s="62">
        <v>2100</v>
      </c>
      <c r="I426" s="53" t="s">
        <v>129</v>
      </c>
      <c r="J426" s="53"/>
      <c r="K426" s="12" t="s">
        <v>129</v>
      </c>
      <c r="L426" s="51"/>
      <c r="M426" s="51">
        <v>-4326</v>
      </c>
      <c r="N426" s="52" t="s">
        <v>654</v>
      </c>
    </row>
    <row r="427" spans="1:14">
      <c r="A427" t="s">
        <v>19</v>
      </c>
      <c r="B427" s="6">
        <v>12327</v>
      </c>
      <c r="C427" s="2" t="s">
        <v>655</v>
      </c>
      <c r="D427" s="6">
        <v>143641</v>
      </c>
      <c r="E427" s="53">
        <v>42214</v>
      </c>
      <c r="F427" t="s">
        <v>656</v>
      </c>
      <c r="G427" s="113">
        <v>334131</v>
      </c>
      <c r="H427" s="62">
        <v>1402</v>
      </c>
      <c r="I427" s="53">
        <v>41671</v>
      </c>
      <c r="J427" s="53"/>
      <c r="K427" s="12">
        <v>45322</v>
      </c>
      <c r="L427" s="51">
        <v>20000</v>
      </c>
      <c r="M427" s="51">
        <f>-20000+20000</f>
        <v>0</v>
      </c>
      <c r="N427" s="52" t="s">
        <v>657</v>
      </c>
    </row>
    <row r="428" spans="1:14" ht="153.75">
      <c r="A428" t="s">
        <v>19</v>
      </c>
      <c r="B428" s="6">
        <v>12327</v>
      </c>
      <c r="C428" s="2" t="s">
        <v>655</v>
      </c>
      <c r="D428" s="6">
        <v>183794</v>
      </c>
      <c r="E428" s="53">
        <v>42803</v>
      </c>
      <c r="F428" t="s">
        <v>135</v>
      </c>
      <c r="G428" s="113">
        <v>915991</v>
      </c>
      <c r="H428" s="62">
        <v>9015</v>
      </c>
      <c r="I428" s="53">
        <v>42705</v>
      </c>
      <c r="J428" s="53"/>
      <c r="K428" s="12">
        <v>43069</v>
      </c>
      <c r="L428" s="51">
        <v>5000</v>
      </c>
      <c r="M428" s="51">
        <f>-5000+5000</f>
        <v>0</v>
      </c>
      <c r="N428" s="59" t="s">
        <v>658</v>
      </c>
    </row>
    <row r="429" spans="1:14">
      <c r="A429" t="s">
        <v>19</v>
      </c>
      <c r="B429" s="6">
        <v>12327</v>
      </c>
      <c r="C429" s="2" t="s">
        <v>655</v>
      </c>
      <c r="D429" s="6">
        <v>192565</v>
      </c>
      <c r="E429" s="53">
        <v>43236</v>
      </c>
      <c r="F429" t="s">
        <v>659</v>
      </c>
      <c r="G429" s="113">
        <v>923720</v>
      </c>
      <c r="H429" s="62">
        <v>1414</v>
      </c>
      <c r="I429" s="53"/>
      <c r="J429" s="53"/>
      <c r="K429" s="12" t="s">
        <v>129</v>
      </c>
      <c r="L429" s="51">
        <v>75000</v>
      </c>
      <c r="M429" s="51">
        <f>-45000-30000+37500+44500-7000</f>
        <v>0</v>
      </c>
      <c r="N429" s="52" t="s">
        <v>22</v>
      </c>
    </row>
    <row r="430" spans="1:14">
      <c r="A430" t="s">
        <v>19</v>
      </c>
      <c r="B430" s="6">
        <v>12327</v>
      </c>
      <c r="C430" s="2" t="s">
        <v>655</v>
      </c>
      <c r="D430" s="6">
        <v>195625</v>
      </c>
      <c r="E430" s="53">
        <v>43385</v>
      </c>
      <c r="F430" t="s">
        <v>660</v>
      </c>
      <c r="G430" s="113">
        <v>333198</v>
      </c>
      <c r="H430" s="62">
        <v>1729</v>
      </c>
      <c r="I430" s="53">
        <v>43405</v>
      </c>
      <c r="J430" s="53"/>
      <c r="K430" s="12" t="s">
        <v>129</v>
      </c>
      <c r="L430" s="51">
        <v>210000</v>
      </c>
      <c r="M430" s="51">
        <f>-210000+210000</f>
        <v>0</v>
      </c>
      <c r="N430" s="81" t="s">
        <v>47</v>
      </c>
    </row>
    <row r="431" spans="1:14">
      <c r="A431" t="s">
        <v>19</v>
      </c>
      <c r="B431" s="6">
        <v>12327</v>
      </c>
      <c r="C431" s="2" t="s">
        <v>655</v>
      </c>
      <c r="D431" s="6">
        <v>197707</v>
      </c>
      <c r="E431" s="53">
        <v>43553</v>
      </c>
      <c r="F431" t="s">
        <v>48</v>
      </c>
      <c r="G431" s="113">
        <v>926866</v>
      </c>
      <c r="H431" s="62">
        <v>1717</v>
      </c>
      <c r="I431" s="53">
        <v>43586</v>
      </c>
      <c r="J431" s="53"/>
      <c r="K431" s="12" t="s">
        <v>129</v>
      </c>
      <c r="L431" s="51">
        <v>100000</v>
      </c>
      <c r="M431" s="51">
        <f>-100000+150000-50000</f>
        <v>0</v>
      </c>
      <c r="N431" s="60" t="s">
        <v>661</v>
      </c>
    </row>
    <row r="432" spans="1:14">
      <c r="A432" t="s">
        <v>19</v>
      </c>
      <c r="B432" s="6">
        <v>12327</v>
      </c>
      <c r="C432" s="2" t="s">
        <v>655</v>
      </c>
      <c r="D432" s="6">
        <v>197708</v>
      </c>
      <c r="E432" s="53">
        <v>43553</v>
      </c>
      <c r="F432" t="s">
        <v>662</v>
      </c>
      <c r="G432" s="113">
        <v>926512</v>
      </c>
      <c r="H432" s="62">
        <v>1612</v>
      </c>
      <c r="I432" s="53">
        <v>43617</v>
      </c>
      <c r="J432" s="53"/>
      <c r="K432" s="12" t="s">
        <v>129</v>
      </c>
      <c r="L432" s="51">
        <v>80000</v>
      </c>
      <c r="M432" s="51">
        <f>-80000+26666.66+53333.34</f>
        <v>0</v>
      </c>
      <c r="N432" s="52" t="s">
        <v>22</v>
      </c>
    </row>
    <row r="433" spans="1:14">
      <c r="A433" t="s">
        <v>19</v>
      </c>
      <c r="B433" s="6">
        <v>12327</v>
      </c>
      <c r="C433" s="2" t="s">
        <v>655</v>
      </c>
      <c r="D433" s="6">
        <v>197770</v>
      </c>
      <c r="E433" s="53">
        <v>43551</v>
      </c>
      <c r="F433" t="s">
        <v>663</v>
      </c>
      <c r="G433" s="113">
        <v>927000</v>
      </c>
      <c r="H433" s="62">
        <v>1328</v>
      </c>
      <c r="I433" s="53">
        <v>43739</v>
      </c>
      <c r="J433" s="53"/>
      <c r="K433" s="12" t="s">
        <v>129</v>
      </c>
      <c r="L433" s="51">
        <v>300000</v>
      </c>
      <c r="M433" s="51">
        <f>-300000+100000+100000+100000</f>
        <v>0</v>
      </c>
      <c r="N433" s="52" t="s">
        <v>22</v>
      </c>
    </row>
    <row r="434" spans="1:14">
      <c r="A434" t="s">
        <v>19</v>
      </c>
      <c r="B434" s="6">
        <v>12327</v>
      </c>
      <c r="C434" s="2" t="s">
        <v>655</v>
      </c>
      <c r="D434" s="6">
        <v>216341</v>
      </c>
      <c r="E434" s="53">
        <v>43931</v>
      </c>
      <c r="F434" t="s">
        <v>664</v>
      </c>
      <c r="G434" s="113">
        <v>930446</v>
      </c>
      <c r="H434" s="62">
        <v>1701</v>
      </c>
      <c r="I434" s="53">
        <v>43891</v>
      </c>
      <c r="J434" s="53"/>
      <c r="K434" s="12">
        <v>47514</v>
      </c>
      <c r="L434" s="51">
        <v>125000</v>
      </c>
      <c r="M434" s="51">
        <f>-125000+125000</f>
        <v>0</v>
      </c>
      <c r="N434" s="52" t="s">
        <v>35</v>
      </c>
    </row>
    <row r="435" spans="1:14">
      <c r="A435" t="s">
        <v>19</v>
      </c>
      <c r="B435" s="6">
        <v>12327</v>
      </c>
      <c r="C435" s="2" t="s">
        <v>655</v>
      </c>
      <c r="D435" s="6">
        <v>216338</v>
      </c>
      <c r="E435" s="53">
        <v>43930</v>
      </c>
      <c r="F435" t="s">
        <v>665</v>
      </c>
      <c r="G435" s="113">
        <v>930460</v>
      </c>
      <c r="H435" s="62">
        <v>1729</v>
      </c>
      <c r="I435" s="53">
        <v>43860</v>
      </c>
      <c r="J435" s="53"/>
      <c r="K435" s="12">
        <v>44226</v>
      </c>
      <c r="L435" s="51">
        <v>22000</v>
      </c>
      <c r="M435" s="51">
        <f>-22000+22000</f>
        <v>0</v>
      </c>
      <c r="N435" s="52" t="s">
        <v>29</v>
      </c>
    </row>
    <row r="436" spans="1:14">
      <c r="A436" t="s">
        <v>19</v>
      </c>
      <c r="B436" s="6">
        <v>12327</v>
      </c>
      <c r="C436" s="2" t="s">
        <v>655</v>
      </c>
      <c r="D436" s="6">
        <v>218686</v>
      </c>
      <c r="E436" s="53">
        <v>44013</v>
      </c>
      <c r="F436" t="s">
        <v>666</v>
      </c>
      <c r="G436" s="113">
        <v>929321</v>
      </c>
      <c r="H436" s="62">
        <v>1234</v>
      </c>
      <c r="I436" s="53">
        <v>43800</v>
      </c>
      <c r="J436" s="53"/>
      <c r="K436" s="12">
        <v>44166</v>
      </c>
      <c r="L436" s="51">
        <v>235000</v>
      </c>
      <c r="M436" s="51">
        <f>-235000+235000</f>
        <v>0</v>
      </c>
      <c r="N436" s="52" t="s">
        <v>29</v>
      </c>
    </row>
    <row r="437" spans="1:14">
      <c r="A437" t="s">
        <v>19</v>
      </c>
      <c r="B437" s="6">
        <v>12330</v>
      </c>
      <c r="C437" s="2" t="s">
        <v>667</v>
      </c>
      <c r="D437" s="6">
        <v>215566</v>
      </c>
      <c r="E437" s="53">
        <v>43896</v>
      </c>
      <c r="F437" t="s">
        <v>668</v>
      </c>
      <c r="G437" s="113">
        <v>929314</v>
      </c>
      <c r="H437" s="62" t="s">
        <v>669</v>
      </c>
      <c r="I437" s="53">
        <v>43715</v>
      </c>
      <c r="J437" s="53"/>
      <c r="K437" s="12" t="s">
        <v>129</v>
      </c>
      <c r="L437" s="51">
        <v>1760000</v>
      </c>
      <c r="M437" s="51">
        <f>-1760000+1028304.45+1760000-459279.73-569024.72</f>
        <v>0</v>
      </c>
      <c r="N437" s="52"/>
    </row>
    <row r="438" spans="1:14">
      <c r="A438" t="s">
        <v>19</v>
      </c>
      <c r="B438" s="6">
        <v>12337</v>
      </c>
      <c r="C438" s="2" t="s">
        <v>670</v>
      </c>
      <c r="D438" s="6">
        <v>219372</v>
      </c>
      <c r="E438" s="53">
        <v>44286</v>
      </c>
      <c r="F438" t="s">
        <v>671</v>
      </c>
      <c r="G438" s="113">
        <v>912685</v>
      </c>
      <c r="H438" s="62" t="s">
        <v>672</v>
      </c>
      <c r="I438" s="53">
        <v>43891</v>
      </c>
      <c r="J438" s="53"/>
      <c r="K438" s="12" t="s">
        <v>129</v>
      </c>
      <c r="L438" s="51">
        <v>150000</v>
      </c>
      <c r="M438" s="51">
        <v>-150000</v>
      </c>
      <c r="N438" s="52" t="s">
        <v>35</v>
      </c>
    </row>
    <row r="439" spans="1:14" ht="26.25">
      <c r="A439" t="s">
        <v>19</v>
      </c>
      <c r="B439" s="6">
        <v>12337</v>
      </c>
      <c r="C439" s="2" t="s">
        <v>670</v>
      </c>
      <c r="D439" s="6">
        <v>220761</v>
      </c>
      <c r="E439" s="53">
        <v>44286</v>
      </c>
      <c r="F439" t="s">
        <v>673</v>
      </c>
      <c r="G439" s="113">
        <v>931947</v>
      </c>
      <c r="H439" s="62" t="s">
        <v>674</v>
      </c>
      <c r="I439" s="53">
        <v>44172</v>
      </c>
      <c r="J439" s="53"/>
      <c r="K439" s="12" t="s">
        <v>129</v>
      </c>
      <c r="L439" s="51">
        <v>800000</v>
      </c>
      <c r="M439" s="51">
        <v>-800000</v>
      </c>
      <c r="N439" s="52" t="s">
        <v>675</v>
      </c>
    </row>
    <row r="440" spans="1:14">
      <c r="A440" t="s">
        <v>19</v>
      </c>
      <c r="B440" s="6">
        <v>12337</v>
      </c>
      <c r="C440" s="2" t="s">
        <v>670</v>
      </c>
      <c r="D440" s="6">
        <v>222965</v>
      </c>
      <c r="E440" s="53">
        <v>44561</v>
      </c>
      <c r="F440" t="s">
        <v>464</v>
      </c>
      <c r="G440" s="113">
        <v>934658</v>
      </c>
      <c r="H440" s="62" t="s">
        <v>676</v>
      </c>
      <c r="I440" s="53">
        <v>44470</v>
      </c>
      <c r="J440" s="53"/>
      <c r="K440" s="12" t="s">
        <v>129</v>
      </c>
      <c r="L440" s="51">
        <v>373270.24</v>
      </c>
      <c r="M440" s="51">
        <f>186635.12-373270.24</f>
        <v>-186635.12</v>
      </c>
      <c r="N440" s="52"/>
    </row>
    <row r="441" spans="1:14">
      <c r="A441" t="s">
        <v>19</v>
      </c>
      <c r="B441" s="6">
        <v>12337</v>
      </c>
      <c r="C441" s="2" t="s">
        <v>670</v>
      </c>
      <c r="D441" s="6">
        <v>222964</v>
      </c>
      <c r="E441" s="53">
        <v>44561</v>
      </c>
      <c r="F441" t="s">
        <v>677</v>
      </c>
      <c r="G441" s="48"/>
      <c r="H441" s="62"/>
      <c r="I441" s="53"/>
      <c r="J441" s="53"/>
      <c r="K441" s="12" t="s">
        <v>129</v>
      </c>
      <c r="L441" s="51">
        <v>900000</v>
      </c>
      <c r="M441" s="51">
        <v>-900000</v>
      </c>
      <c r="N441" s="52"/>
    </row>
    <row r="442" spans="1:14">
      <c r="A442" t="s">
        <v>19</v>
      </c>
      <c r="B442" s="6">
        <v>12337</v>
      </c>
      <c r="C442" s="2" t="s">
        <v>670</v>
      </c>
      <c r="D442" s="6">
        <v>221150</v>
      </c>
      <c r="E442" s="53">
        <v>44287</v>
      </c>
      <c r="F442" t="s">
        <v>678</v>
      </c>
      <c r="G442" s="48">
        <v>934384</v>
      </c>
      <c r="H442" s="62" t="s">
        <v>679</v>
      </c>
      <c r="I442" s="53">
        <v>44470</v>
      </c>
      <c r="J442" s="53"/>
      <c r="K442" s="12" t="s">
        <v>129</v>
      </c>
      <c r="L442" s="51">
        <v>110000</v>
      </c>
      <c r="M442" s="51">
        <f>55000-110000</f>
        <v>-55000</v>
      </c>
      <c r="N442" s="60"/>
    </row>
    <row r="443" spans="1:14" ht="26.25">
      <c r="A443" t="s">
        <v>19</v>
      </c>
      <c r="B443" s="6">
        <v>13010</v>
      </c>
      <c r="C443" s="2" t="s">
        <v>680</v>
      </c>
      <c r="D443" s="6" t="s">
        <v>129</v>
      </c>
      <c r="E443" s="53">
        <v>38322</v>
      </c>
      <c r="F443" t="s">
        <v>681</v>
      </c>
      <c r="G443" s="48" t="s">
        <v>129</v>
      </c>
      <c r="H443" s="62" t="s">
        <v>129</v>
      </c>
      <c r="I443" s="53" t="s">
        <v>129</v>
      </c>
      <c r="J443" s="53"/>
      <c r="K443" s="12" t="s">
        <v>129</v>
      </c>
      <c r="L443" s="51"/>
      <c r="M443" s="51">
        <v>29687.5</v>
      </c>
      <c r="N443" s="64" t="s">
        <v>682</v>
      </c>
    </row>
    <row r="444" spans="1:14">
      <c r="A444" t="s">
        <v>19</v>
      </c>
      <c r="B444" s="6">
        <v>12255</v>
      </c>
      <c r="D444" s="6">
        <v>223568</v>
      </c>
      <c r="E444" s="53">
        <v>44692</v>
      </c>
      <c r="F444" t="s">
        <v>1349</v>
      </c>
      <c r="G444" s="48" t="s">
        <v>1406</v>
      </c>
      <c r="H444" s="62" t="s">
        <v>129</v>
      </c>
      <c r="I444" s="53"/>
      <c r="J444" s="53"/>
      <c r="K444" s="12">
        <v>1</v>
      </c>
      <c r="L444" s="51"/>
      <c r="M444" s="51">
        <v>202500</v>
      </c>
      <c r="N444" s="64" t="s">
        <v>1407</v>
      </c>
    </row>
    <row r="445" spans="1:14">
      <c r="A445" t="s">
        <v>19</v>
      </c>
      <c r="B445" s="6">
        <v>12286</v>
      </c>
      <c r="D445" s="6">
        <v>221990</v>
      </c>
      <c r="E445" s="53">
        <v>44712</v>
      </c>
      <c r="F445" t="s">
        <v>1361</v>
      </c>
      <c r="G445" s="48" t="s">
        <v>1408</v>
      </c>
      <c r="H445" s="62" t="s">
        <v>129</v>
      </c>
      <c r="I445" s="53"/>
      <c r="J445" s="53"/>
      <c r="K445" s="12">
        <v>1</v>
      </c>
      <c r="L445" s="51"/>
      <c r="M445" s="51">
        <v>-30000</v>
      </c>
      <c r="N445" s="64" t="s">
        <v>1407</v>
      </c>
    </row>
    <row r="446" spans="1:14">
      <c r="A446" t="s">
        <v>19</v>
      </c>
      <c r="B446" s="6">
        <v>12292</v>
      </c>
      <c r="D446" s="6" t="s">
        <v>129</v>
      </c>
      <c r="E446" s="53">
        <v>44682</v>
      </c>
      <c r="F446" t="s">
        <v>1369</v>
      </c>
      <c r="G446" s="48" t="s">
        <v>1409</v>
      </c>
      <c r="H446" s="62" t="s">
        <v>129</v>
      </c>
      <c r="I446" s="53"/>
      <c r="J446" s="53"/>
      <c r="K446" s="12">
        <v>1</v>
      </c>
      <c r="L446" s="51"/>
      <c r="M446" s="51">
        <v>-50000</v>
      </c>
      <c r="N446" s="64" t="s">
        <v>1407</v>
      </c>
    </row>
    <row r="447" spans="1:14">
      <c r="A447" t="s">
        <v>19</v>
      </c>
      <c r="B447" s="6">
        <v>12292</v>
      </c>
      <c r="D447" s="6" t="s">
        <v>129</v>
      </c>
      <c r="E447" s="53">
        <v>44682</v>
      </c>
      <c r="F447" t="s">
        <v>1372</v>
      </c>
      <c r="G447" s="48" t="s">
        <v>1410</v>
      </c>
      <c r="H447" s="62" t="s">
        <v>129</v>
      </c>
      <c r="I447" s="53"/>
      <c r="J447" s="53"/>
      <c r="K447" s="12">
        <v>1</v>
      </c>
      <c r="L447" s="51"/>
      <c r="M447" s="51">
        <v>-21535.88</v>
      </c>
      <c r="N447" s="64" t="s">
        <v>1407</v>
      </c>
    </row>
    <row r="448" spans="1:14">
      <c r="A448" t="s">
        <v>19</v>
      </c>
      <c r="B448" s="6">
        <v>12303</v>
      </c>
      <c r="D448" s="6" t="s">
        <v>129</v>
      </c>
      <c r="E448" s="53">
        <v>44712</v>
      </c>
      <c r="F448" t="s">
        <v>1395</v>
      </c>
      <c r="G448" s="48" t="s">
        <v>129</v>
      </c>
      <c r="H448" s="62">
        <v>1030</v>
      </c>
      <c r="I448" s="53"/>
      <c r="J448" s="53"/>
      <c r="K448" s="12">
        <v>1</v>
      </c>
      <c r="L448" s="51"/>
      <c r="M448" s="51">
        <v>-22500</v>
      </c>
      <c r="N448" s="64" t="s">
        <v>1407</v>
      </c>
    </row>
    <row r="449" spans="1:14" ht="26.25">
      <c r="A449" t="s">
        <v>19</v>
      </c>
      <c r="B449" s="6">
        <v>13011</v>
      </c>
      <c r="C449" s="2" t="s">
        <v>683</v>
      </c>
      <c r="D449" s="6" t="s">
        <v>129</v>
      </c>
      <c r="E449" s="53">
        <v>38322</v>
      </c>
      <c r="F449" t="s">
        <v>681</v>
      </c>
      <c r="G449" s="48" t="s">
        <v>129</v>
      </c>
      <c r="H449" s="62" t="s">
        <v>129</v>
      </c>
      <c r="I449" s="53" t="s">
        <v>129</v>
      </c>
      <c r="J449" s="53"/>
      <c r="K449" s="12" t="s">
        <v>129</v>
      </c>
      <c r="L449" s="51"/>
      <c r="M449" s="51">
        <v>237500</v>
      </c>
      <c r="N449" s="64" t="s">
        <v>682</v>
      </c>
    </row>
    <row r="450" spans="1:14">
      <c r="A450"/>
      <c r="B450" s="6"/>
      <c r="D450" s="6"/>
      <c r="E450" s="53"/>
      <c r="G450" s="48"/>
      <c r="H450" s="62"/>
      <c r="I450" s="53"/>
      <c r="J450" s="53"/>
      <c r="K450" s="12"/>
      <c r="L450" s="51"/>
      <c r="M450" s="51"/>
      <c r="N450" s="64"/>
    </row>
    <row r="451" spans="1:14" ht="15.75" thickBot="1">
      <c r="B451" s="82">
        <f>COUNT(B9:B421)</f>
        <v>413</v>
      </c>
      <c r="C451" s="35" t="s">
        <v>684</v>
      </c>
      <c r="D451" s="83"/>
      <c r="E451" s="53"/>
      <c r="F451" s="84"/>
      <c r="H451" s="61"/>
      <c r="I451" s="85"/>
      <c r="J451" s="85"/>
      <c r="K451" s="86" t="s">
        <v>685</v>
      </c>
      <c r="L451" s="87"/>
      <c r="M451" s="88">
        <f>SUM(M9:M449)</f>
        <v>-53639826.020000003</v>
      </c>
      <c r="N451" s="52"/>
    </row>
    <row r="452" spans="1:14" ht="15.75" thickTop="1">
      <c r="B452" s="1"/>
      <c r="D452" s="83"/>
      <c r="E452" s="53"/>
      <c r="F452" s="1"/>
      <c r="H452" s="61"/>
      <c r="I452" s="49"/>
      <c r="J452" s="49"/>
      <c r="K452" s="89" t="s">
        <v>686</v>
      </c>
      <c r="L452" s="90"/>
      <c r="M452" s="91"/>
      <c r="N452" s="92"/>
    </row>
    <row r="453" spans="1:14" customFormat="1">
      <c r="D453" s="83" t="s">
        <v>687</v>
      </c>
      <c r="E453" s="93"/>
      <c r="G453" s="5"/>
      <c r="H453" s="6"/>
      <c r="I453" s="7"/>
      <c r="J453" s="7"/>
      <c r="K453" s="7"/>
      <c r="L453" s="94"/>
      <c r="M453" s="95">
        <f>'[1]Center Balance'!B48</f>
        <v>-54498290.130000003</v>
      </c>
      <c r="N453" s="11"/>
    </row>
  </sheetData>
  <autoFilter ref="A8:O449" xr:uid="{D046A8C0-68CF-4DE8-B05A-CAE7958BBB31}"/>
  <mergeCells count="3">
    <mergeCell ref="B4:D4"/>
    <mergeCell ref="B5:D5"/>
    <mergeCell ref="B6:D6"/>
  </mergeCells>
  <conditionalFormatting sqref="M4">
    <cfRule type="expression" dxfId="0" priority="1" stopIfTrue="1">
      <formula>ABS($M$4)&gt;0</formula>
    </cfRule>
  </conditionalFormatting>
  <pageMargins left="0.7" right="0.7" top="0.75" bottom="0.75" header="0.3" footer="0.3"/>
  <ignoredErrors>
    <ignoredError sqref="G226 G40 G81 H109 G236:G240 G361:G364 G398 G420" numberStoredAsText="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FD8E6-50A1-4CA7-8B17-ECD0ADF9A92E}">
  <dimension ref="A1:D47"/>
  <sheetViews>
    <sheetView tabSelected="1" workbookViewId="0">
      <selection activeCell="B1" sqref="B1"/>
    </sheetView>
  </sheetViews>
  <sheetFormatPr defaultRowHeight="15"/>
  <cols>
    <col min="1" max="1" width="27.28515625" bestFit="1" customWidth="1"/>
    <col min="2" max="2" width="14" bestFit="1" customWidth="1"/>
    <col min="3" max="3" width="11.7109375" bestFit="1" customWidth="1"/>
    <col min="4" max="4" width="7.42578125" customWidth="1"/>
  </cols>
  <sheetData>
    <row r="1" spans="1:4" ht="84">
      <c r="A1" s="97" t="s">
        <v>688</v>
      </c>
      <c r="B1" s="97" t="s">
        <v>1413</v>
      </c>
      <c r="C1" s="98" t="s">
        <v>689</v>
      </c>
      <c r="D1" s="99" t="s">
        <v>690</v>
      </c>
    </row>
    <row r="2" spans="1:4">
      <c r="A2" s="121" t="s">
        <v>699</v>
      </c>
      <c r="B2" s="122">
        <v>-9976301.3100000005</v>
      </c>
      <c r="C2">
        <f>SUMIF('May 22'!B:B,LEFT(A2,5),'May 22'!M:M)</f>
        <v>-9976301.3100000005</v>
      </c>
      <c r="D2" s="131">
        <f t="shared" ref="D2:D46" si="0">(B2-C2)</f>
        <v>0</v>
      </c>
    </row>
    <row r="3" spans="1:4">
      <c r="A3" s="123" t="s">
        <v>703</v>
      </c>
      <c r="B3" s="124">
        <v>-1000900</v>
      </c>
      <c r="C3">
        <f>SUMIF('May 22'!B:B,LEFT(A3,5),'May 22'!M:M)</f>
        <v>-1000900</v>
      </c>
      <c r="D3" s="131">
        <f t="shared" si="0"/>
        <v>0</v>
      </c>
    </row>
    <row r="4" spans="1:4">
      <c r="A4" s="121" t="s">
        <v>704</v>
      </c>
      <c r="B4" s="122">
        <v>-270000</v>
      </c>
      <c r="C4">
        <f>SUMIF('May 22'!B:B,LEFT(A4,5),'May 22'!M:M)</f>
        <v>-270000</v>
      </c>
      <c r="D4" s="131">
        <f t="shared" si="0"/>
        <v>0</v>
      </c>
    </row>
    <row r="5" spans="1:4">
      <c r="A5" s="123" t="s">
        <v>705</v>
      </c>
      <c r="B5" s="124">
        <v>-210406.66</v>
      </c>
      <c r="C5">
        <f>SUMIF('May 22'!B:B,LEFT(A5,5),'May 22'!M:M)</f>
        <v>-210406.66000000003</v>
      </c>
      <c r="D5" s="131">
        <f t="shared" si="0"/>
        <v>2.9103830456733704E-11</v>
      </c>
    </row>
    <row r="6" spans="1:4">
      <c r="A6" s="121" t="s">
        <v>708</v>
      </c>
      <c r="B6" s="122">
        <v>-4043334.42</v>
      </c>
      <c r="C6">
        <f>SUMIF('May 22'!B:B,LEFT(A6,5),'May 22'!M:M)</f>
        <v>-4043334.42</v>
      </c>
      <c r="D6" s="131">
        <f t="shared" si="0"/>
        <v>0</v>
      </c>
    </row>
    <row r="7" spans="1:4">
      <c r="A7" s="123" t="s">
        <v>709</v>
      </c>
      <c r="B7" s="124">
        <v>-144151.35999999999</v>
      </c>
      <c r="C7">
        <f>SUMIF('May 22'!B:B,LEFT(A7,5),'May 22'!M:M)</f>
        <v>-144151.35999999999</v>
      </c>
      <c r="D7" s="131">
        <f t="shared" si="0"/>
        <v>0</v>
      </c>
    </row>
    <row r="8" spans="1:4">
      <c r="A8" s="121" t="s">
        <v>716</v>
      </c>
      <c r="B8" s="122">
        <v>-903291.78</v>
      </c>
      <c r="C8">
        <f>SUMIF('May 22'!B:B,LEFT(A8,5),'May 22'!M:M)</f>
        <v>-903291.78</v>
      </c>
      <c r="D8" s="131">
        <f t="shared" si="0"/>
        <v>0</v>
      </c>
    </row>
    <row r="9" spans="1:4">
      <c r="A9" s="123" t="s">
        <v>721</v>
      </c>
      <c r="B9" s="124">
        <v>-2341073.6</v>
      </c>
      <c r="C9">
        <f>SUMIF('May 22'!B:B,LEFT(A9,5),'May 22'!M:M)</f>
        <v>-2341073.6</v>
      </c>
      <c r="D9" s="131">
        <f t="shared" si="0"/>
        <v>0</v>
      </c>
    </row>
    <row r="10" spans="1:4">
      <c r="A10" s="121" t="s">
        <v>732</v>
      </c>
      <c r="B10" s="122">
        <v>-2091635.12</v>
      </c>
      <c r="C10">
        <f>SUMIF('May 22'!B:B,LEFT(A10,5),'May 22'!M:M)</f>
        <v>-2091635.12</v>
      </c>
      <c r="D10" s="131">
        <f t="shared" si="0"/>
        <v>0</v>
      </c>
    </row>
    <row r="11" spans="1:4">
      <c r="A11" s="123" t="s">
        <v>733</v>
      </c>
      <c r="B11" s="125">
        <v>29687.5</v>
      </c>
      <c r="C11">
        <f>SUMIF('May 22'!B:B,LEFT(A11,5),'May 22'!M:M)</f>
        <v>29687.5</v>
      </c>
      <c r="D11" s="131">
        <f t="shared" si="0"/>
        <v>0</v>
      </c>
    </row>
    <row r="12" spans="1:4">
      <c r="A12" s="121" t="s">
        <v>734</v>
      </c>
      <c r="B12" s="126">
        <v>237500</v>
      </c>
      <c r="C12">
        <f>SUMIF('May 22'!B:B,LEFT(A12,5),'May 22'!M:M)</f>
        <v>237500</v>
      </c>
      <c r="D12" s="131">
        <f t="shared" si="0"/>
        <v>0</v>
      </c>
    </row>
    <row r="13" spans="1:4">
      <c r="A13" s="123" t="s">
        <v>691</v>
      </c>
      <c r="B13" s="124">
        <v>-2368286.4500000002</v>
      </c>
      <c r="C13">
        <f>SUMIF('May 22'!B:B,LEFT(A13,5),'May 22'!M:M)</f>
        <v>-2368286.4500000002</v>
      </c>
      <c r="D13" s="131">
        <f t="shared" si="0"/>
        <v>0</v>
      </c>
    </row>
    <row r="14" spans="1:4">
      <c r="A14" s="121" t="s">
        <v>692</v>
      </c>
      <c r="B14" s="122">
        <v>-1292702.92</v>
      </c>
      <c r="C14">
        <f>SUMIF('May 22'!B:B,LEFT(A14,5),'May 22'!M:M)</f>
        <v>-1292702.92</v>
      </c>
      <c r="D14" s="131">
        <f t="shared" si="0"/>
        <v>0</v>
      </c>
    </row>
    <row r="15" spans="1:4">
      <c r="A15" s="123" t="s">
        <v>702</v>
      </c>
      <c r="B15" s="124">
        <v>-130000</v>
      </c>
      <c r="C15">
        <f>SUMIF('May 22'!B:B,LEFT(A15,5),'May 22'!M:M)</f>
        <v>-130000</v>
      </c>
      <c r="D15" s="131">
        <f t="shared" si="0"/>
        <v>0</v>
      </c>
    </row>
    <row r="16" spans="1:4">
      <c r="A16" s="121" t="s">
        <v>715</v>
      </c>
      <c r="B16" s="122">
        <v>-274591.03999999998</v>
      </c>
      <c r="C16">
        <f>SUMIF('May 22'!B:B,LEFT(A16,5),'May 22'!M:M)</f>
        <v>-274591.03999999998</v>
      </c>
      <c r="D16" s="131">
        <f t="shared" si="0"/>
        <v>0</v>
      </c>
    </row>
    <row r="17" spans="1:4">
      <c r="A17" s="123" t="s">
        <v>717</v>
      </c>
      <c r="B17" s="124">
        <v>-101875.2</v>
      </c>
      <c r="C17">
        <f>SUMIF('May 22'!B:B,LEFT(A17,5),'May 22'!M:M)</f>
        <v>-101875.20000000007</v>
      </c>
      <c r="D17" s="131">
        <f t="shared" si="0"/>
        <v>7.2759576141834259E-11</v>
      </c>
    </row>
    <row r="18" spans="1:4">
      <c r="A18" s="121" t="s">
        <v>720</v>
      </c>
      <c r="B18" s="122">
        <v>-142993.28</v>
      </c>
      <c r="C18">
        <f>SUMIF('May 22'!B:B,LEFT(A18,5),'May 22'!M:M)</f>
        <v>-142993.28</v>
      </c>
      <c r="D18" s="131">
        <f t="shared" si="0"/>
        <v>0</v>
      </c>
    </row>
    <row r="19" spans="1:4">
      <c r="A19" s="123" t="s">
        <v>727</v>
      </c>
      <c r="B19" s="124">
        <v>-972878.24</v>
      </c>
      <c r="C19">
        <f>SUMIF('May 22'!B:B,LEFT(A19,5),'May 22'!M:M)</f>
        <v>-972878.24</v>
      </c>
      <c r="D19" s="131">
        <f t="shared" si="0"/>
        <v>0</v>
      </c>
    </row>
    <row r="20" spans="1:4">
      <c r="A20" s="121" t="s">
        <v>728</v>
      </c>
      <c r="B20" s="122">
        <v>-34326.19</v>
      </c>
      <c r="C20">
        <f>SUMIF('May 22'!B:B,LEFT(A20,5),'May 22'!M:M)</f>
        <v>-34326.189999999988</v>
      </c>
      <c r="D20" s="131">
        <f t="shared" si="0"/>
        <v>-1.4551915228366852E-11</v>
      </c>
    </row>
    <row r="21" spans="1:4">
      <c r="A21" s="123" t="s">
        <v>729</v>
      </c>
      <c r="B21" s="124">
        <v>-359360</v>
      </c>
      <c r="C21">
        <f>SUMIF('May 22'!B:B,LEFT(A21,5),'May 22'!M:M)</f>
        <v>-359360</v>
      </c>
      <c r="D21" s="131">
        <f t="shared" si="0"/>
        <v>0</v>
      </c>
    </row>
    <row r="22" spans="1:4">
      <c r="A22" s="121" t="s">
        <v>694</v>
      </c>
      <c r="B22" s="122">
        <v>-192203.34</v>
      </c>
      <c r="C22">
        <f>SUMIF('May 22'!B:B,LEFT(A22,5),'May 22'!M:M)</f>
        <v>-192203.33999999997</v>
      </c>
      <c r="D22" s="131">
        <f t="shared" si="0"/>
        <v>-2.9103830456733704E-11</v>
      </c>
    </row>
    <row r="23" spans="1:4">
      <c r="A23" s="123" t="s">
        <v>697</v>
      </c>
      <c r="B23" s="124">
        <v>-90000</v>
      </c>
      <c r="C23">
        <f>SUMIF('May 22'!B:B,LEFT(A23,5),'May 22'!M:M)</f>
        <v>-90000</v>
      </c>
      <c r="D23" s="131">
        <f t="shared" si="0"/>
        <v>0</v>
      </c>
    </row>
    <row r="24" spans="1:4">
      <c r="A24" s="121" t="s">
        <v>700</v>
      </c>
      <c r="B24" s="122">
        <v>-32660</v>
      </c>
      <c r="C24">
        <f>SUMIF('May 22'!B:B,LEFT(A24,5),'May 22'!M:M)</f>
        <v>-32660</v>
      </c>
      <c r="D24" s="131">
        <f t="shared" si="0"/>
        <v>0</v>
      </c>
    </row>
    <row r="25" spans="1:4">
      <c r="A25" s="123" t="s">
        <v>701</v>
      </c>
      <c r="B25" s="124">
        <v>-524528.16</v>
      </c>
      <c r="C25">
        <f>SUMIF('May 22'!B:B,LEFT(A25,5),'May 22'!M:M)</f>
        <v>-524528.16</v>
      </c>
      <c r="D25" s="131">
        <f t="shared" si="0"/>
        <v>0</v>
      </c>
    </row>
    <row r="26" spans="1:4">
      <c r="A26" s="121" t="s">
        <v>718</v>
      </c>
      <c r="B26" s="122">
        <v>-243</v>
      </c>
      <c r="C26">
        <f>SUMIF('May 22'!B:B,LEFT(A26,5),'May 22'!M:M)</f>
        <v>-243</v>
      </c>
      <c r="D26" s="131">
        <f t="shared" si="0"/>
        <v>0</v>
      </c>
    </row>
    <row r="27" spans="1:4">
      <c r="A27" s="123" t="s">
        <v>725</v>
      </c>
      <c r="B27" s="125">
        <v>34352.35</v>
      </c>
      <c r="C27">
        <f>SUMIF('May 22'!B:B,LEFT(A27,5),'May 22'!M:M)</f>
        <v>34352.35</v>
      </c>
      <c r="D27" s="131">
        <f t="shared" si="0"/>
        <v>0</v>
      </c>
    </row>
    <row r="28" spans="1:4">
      <c r="A28" s="121" t="s">
        <v>731</v>
      </c>
      <c r="B28" s="122">
        <v>-47904</v>
      </c>
      <c r="C28">
        <f>SUMIF('May 22'!B:B,LEFT(A28,5),'May 22'!M:M)</f>
        <v>-47904</v>
      </c>
      <c r="D28" s="131">
        <f t="shared" si="0"/>
        <v>0</v>
      </c>
    </row>
    <row r="29" spans="1:4">
      <c r="A29" s="123" t="s">
        <v>693</v>
      </c>
      <c r="B29" s="124">
        <v>-5300843.5199999996</v>
      </c>
      <c r="C29">
        <f>SUMIF('May 22'!B:B,LEFT(A29,5),'May 22'!M:M)</f>
        <v>-5300843.5199999996</v>
      </c>
      <c r="D29" s="131">
        <f t="shared" si="0"/>
        <v>0</v>
      </c>
    </row>
    <row r="30" spans="1:4">
      <c r="A30" s="121" t="s">
        <v>696</v>
      </c>
      <c r="B30" s="122">
        <v>-298650</v>
      </c>
      <c r="C30">
        <f>SUMIF('May 22'!B:B,LEFT(A30,5),'May 22'!M:M)</f>
        <v>-298650</v>
      </c>
      <c r="D30" s="131">
        <f t="shared" si="0"/>
        <v>0</v>
      </c>
    </row>
    <row r="31" spans="1:4">
      <c r="A31" s="123" t="s">
        <v>698</v>
      </c>
      <c r="B31" s="124">
        <v>-6562951.75</v>
      </c>
      <c r="C31">
        <f>SUMIF('May 22'!B:B,LEFT(A31,5),'May 22'!M:M)</f>
        <v>-6562951.75</v>
      </c>
      <c r="D31" s="131">
        <f t="shared" si="0"/>
        <v>0</v>
      </c>
    </row>
    <row r="32" spans="1:4">
      <c r="A32" s="121" t="s">
        <v>712</v>
      </c>
      <c r="B32" s="122">
        <v>-969500</v>
      </c>
      <c r="C32">
        <f>SUMIF('May 22'!B:B,LEFT(A32,5),'May 22'!M:M)</f>
        <v>-969500</v>
      </c>
      <c r="D32" s="131">
        <f t="shared" si="0"/>
        <v>0</v>
      </c>
    </row>
    <row r="33" spans="1:4">
      <c r="A33" s="123" t="s">
        <v>713</v>
      </c>
      <c r="B33" s="124">
        <v>-10000</v>
      </c>
      <c r="C33">
        <f>SUMIF('May 22'!B:B,LEFT(A33,5),'May 22'!M:M)</f>
        <v>-10000</v>
      </c>
      <c r="D33" s="131">
        <f t="shared" si="0"/>
        <v>0</v>
      </c>
    </row>
    <row r="34" spans="1:4">
      <c r="A34" s="121" t="s">
        <v>719</v>
      </c>
      <c r="B34" s="122">
        <v>-3013735</v>
      </c>
      <c r="C34">
        <f>SUMIF('May 22'!B:B,LEFT(A34,5),'May 22'!M:M)</f>
        <v>-3013735</v>
      </c>
      <c r="D34" s="131">
        <f t="shared" si="0"/>
        <v>0</v>
      </c>
    </row>
    <row r="35" spans="1:4">
      <c r="A35" s="123" t="s">
        <v>1411</v>
      </c>
      <c r="B35" s="124">
        <v>-3692727.6</v>
      </c>
      <c r="C35">
        <f>SUMIF('May 22'!B:B,LEFT(A35,5),'May 22'!M:M)</f>
        <v>-3692727.6</v>
      </c>
      <c r="D35" s="131">
        <f t="shared" si="0"/>
        <v>0</v>
      </c>
    </row>
    <row r="36" spans="1:4">
      <c r="A36" s="121" t="s">
        <v>726</v>
      </c>
      <c r="B36" s="122">
        <v>-1224594.43</v>
      </c>
      <c r="C36">
        <f>SUMIF('May 22'!B:B,LEFT(A36,5),'May 22'!M:M)</f>
        <v>-1224594.43</v>
      </c>
      <c r="D36" s="131">
        <f t="shared" si="0"/>
        <v>0</v>
      </c>
    </row>
    <row r="37" spans="1:4">
      <c r="A37" s="123" t="s">
        <v>695</v>
      </c>
      <c r="B37" s="124">
        <v>-2000</v>
      </c>
      <c r="C37">
        <f>SUMIF('May 22'!B:B,LEFT(A37,5),'May 22'!M:M)</f>
        <v>-2000</v>
      </c>
      <c r="D37" s="131">
        <f t="shared" si="0"/>
        <v>0</v>
      </c>
    </row>
    <row r="38" spans="1:4">
      <c r="A38" s="121" t="s">
        <v>706</v>
      </c>
      <c r="B38" s="122">
        <v>-236865.81</v>
      </c>
      <c r="C38">
        <f>SUMIF('May 22'!B:B,LEFT(A38,5),'May 22'!M:M)</f>
        <v>-236865.81</v>
      </c>
      <c r="D38" s="131">
        <f t="shared" si="0"/>
        <v>0</v>
      </c>
    </row>
    <row r="39" spans="1:4">
      <c r="A39" s="123" t="s">
        <v>707</v>
      </c>
      <c r="B39" s="124">
        <v>-1705740.28</v>
      </c>
      <c r="C39">
        <f>SUMIF('May 22'!B:B,LEFT(A39,5),'May 22'!M:M)</f>
        <v>-1705740.28</v>
      </c>
      <c r="D39" s="131">
        <f t="shared" si="0"/>
        <v>0</v>
      </c>
    </row>
    <row r="40" spans="1:4">
      <c r="A40" s="121" t="s">
        <v>710</v>
      </c>
      <c r="B40" s="122">
        <v>-86855</v>
      </c>
      <c r="C40">
        <f>SUMIF('May 22'!B:B,LEFT(A40,5),'May 22'!M:M)</f>
        <v>-86855</v>
      </c>
      <c r="D40" s="131">
        <f t="shared" si="0"/>
        <v>0</v>
      </c>
    </row>
    <row r="41" spans="1:4">
      <c r="A41" s="123" t="s">
        <v>711</v>
      </c>
      <c r="B41" s="124">
        <v>-479870</v>
      </c>
      <c r="C41">
        <f>SUMIF('May 22'!B:B,LEFT(A41,5),'May 22'!M:M)</f>
        <v>-479870</v>
      </c>
      <c r="D41" s="131">
        <f t="shared" si="0"/>
        <v>0</v>
      </c>
    </row>
    <row r="42" spans="1:4">
      <c r="A42" s="121" t="s">
        <v>714</v>
      </c>
      <c r="B42" s="122">
        <v>-2435912.41</v>
      </c>
      <c r="C42">
        <f>SUMIF('May 22'!B:B,LEFT(A42,5),'May 22'!M:M)</f>
        <v>-2435912.41</v>
      </c>
      <c r="D42" s="131">
        <f t="shared" si="0"/>
        <v>0</v>
      </c>
    </row>
    <row r="43" spans="1:4">
      <c r="A43" s="123" t="s">
        <v>722</v>
      </c>
      <c r="B43" s="124">
        <v>-230000</v>
      </c>
      <c r="C43">
        <f>SUMIF('May 22'!B:B,LEFT(A43,5),'May 22'!M:M)</f>
        <v>-230000</v>
      </c>
      <c r="D43" s="131">
        <f t="shared" si="0"/>
        <v>0</v>
      </c>
    </row>
    <row r="44" spans="1:4">
      <c r="A44" s="121" t="s">
        <v>723</v>
      </c>
      <c r="B44" s="122">
        <v>-67904</v>
      </c>
      <c r="C44">
        <f>SUMIF('May 22'!B:B,LEFT(A44,5),'May 22'!M:M)</f>
        <v>-67904</v>
      </c>
      <c r="D44" s="131">
        <f t="shared" si="0"/>
        <v>0</v>
      </c>
    </row>
    <row r="45" spans="1:4">
      <c r="A45" s="123" t="s">
        <v>724</v>
      </c>
      <c r="B45" s="124">
        <v>-62570</v>
      </c>
      <c r="C45">
        <f>SUMIF('May 22'!B:B,LEFT(A45,5),'May 22'!M:M)</f>
        <v>-62570</v>
      </c>
      <c r="D45" s="131">
        <f t="shared" si="0"/>
        <v>0</v>
      </c>
    </row>
    <row r="46" spans="1:4">
      <c r="A46" s="127" t="s">
        <v>730</v>
      </c>
      <c r="B46" s="128">
        <v>-15000</v>
      </c>
      <c r="C46">
        <f>SUMIF('May 22'!B:B,LEFT(A46,5),'May 22'!M:M)</f>
        <v>-15000</v>
      </c>
      <c r="D46" s="131">
        <f t="shared" si="0"/>
        <v>0</v>
      </c>
    </row>
    <row r="47" spans="1:4">
      <c r="A47" s="129"/>
      <c r="B47" s="130">
        <v>-53639826.020000003</v>
      </c>
      <c r="C47">
        <f>SUM(C2:C46)</f>
        <v>-53639826.019999996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C7FB9-DF94-4F5A-AC26-C6654C5C6863}">
  <dimension ref="A1:D47"/>
  <sheetViews>
    <sheetView workbookViewId="0">
      <selection sqref="A1:D47"/>
    </sheetView>
  </sheetViews>
  <sheetFormatPr defaultRowHeight="15"/>
  <cols>
    <col min="1" max="1" width="10.140625" bestFit="1" customWidth="1"/>
    <col min="2" max="2" width="27.28515625" bestFit="1" customWidth="1"/>
    <col min="3" max="3" width="12.28515625" bestFit="1" customWidth="1"/>
    <col min="4" max="4" width="13.42578125" bestFit="1" customWidth="1"/>
  </cols>
  <sheetData>
    <row r="1" spans="1:4" ht="89.25">
      <c r="A1" s="132" t="s">
        <v>735</v>
      </c>
      <c r="B1" s="132" t="s">
        <v>688</v>
      </c>
      <c r="C1" s="132" t="s">
        <v>1412</v>
      </c>
      <c r="D1" s="132" t="s">
        <v>1413</v>
      </c>
    </row>
    <row r="2" spans="1:4">
      <c r="A2" s="121" t="s">
        <v>739</v>
      </c>
      <c r="B2" s="121" t="s">
        <v>699</v>
      </c>
      <c r="C2" s="126">
        <v>0</v>
      </c>
      <c r="D2" s="122">
        <v>-9976301.3100000005</v>
      </c>
    </row>
    <row r="3" spans="1:4">
      <c r="A3" s="123" t="s">
        <v>739</v>
      </c>
      <c r="B3" s="123" t="s">
        <v>703</v>
      </c>
      <c r="C3" s="125">
        <v>0</v>
      </c>
      <c r="D3" s="124">
        <v>-1000900</v>
      </c>
    </row>
    <row r="4" spans="1:4">
      <c r="A4" s="121" t="s">
        <v>739</v>
      </c>
      <c r="B4" s="121" t="s">
        <v>704</v>
      </c>
      <c r="C4" s="126">
        <v>0</v>
      </c>
      <c r="D4" s="122">
        <v>-270000</v>
      </c>
    </row>
    <row r="5" spans="1:4">
      <c r="A5" s="123" t="s">
        <v>739</v>
      </c>
      <c r="B5" s="123" t="s">
        <v>705</v>
      </c>
      <c r="C5" s="125">
        <v>202500</v>
      </c>
      <c r="D5" s="124">
        <v>-210406.66</v>
      </c>
    </row>
    <row r="6" spans="1:4">
      <c r="A6" s="121" t="s">
        <v>739</v>
      </c>
      <c r="B6" s="121" t="s">
        <v>708</v>
      </c>
      <c r="C6" s="126">
        <v>30000</v>
      </c>
      <c r="D6" s="122">
        <v>-4043334.42</v>
      </c>
    </row>
    <row r="7" spans="1:4">
      <c r="A7" s="123" t="s">
        <v>739</v>
      </c>
      <c r="B7" s="123" t="s">
        <v>709</v>
      </c>
      <c r="C7" s="125">
        <v>0</v>
      </c>
      <c r="D7" s="124">
        <v>-144151.35999999999</v>
      </c>
    </row>
    <row r="8" spans="1:4">
      <c r="A8" s="121" t="s">
        <v>739</v>
      </c>
      <c r="B8" s="121" t="s">
        <v>716</v>
      </c>
      <c r="C8" s="126">
        <v>52500</v>
      </c>
      <c r="D8" s="122">
        <v>-903291.78</v>
      </c>
    </row>
    <row r="9" spans="1:4">
      <c r="A9" s="123" t="s">
        <v>739</v>
      </c>
      <c r="B9" s="123" t="s">
        <v>721</v>
      </c>
      <c r="C9" s="125">
        <v>100000</v>
      </c>
      <c r="D9" s="124">
        <v>-2341073.6</v>
      </c>
    </row>
    <row r="10" spans="1:4">
      <c r="A10" s="121" t="s">
        <v>739</v>
      </c>
      <c r="B10" s="121" t="s">
        <v>732</v>
      </c>
      <c r="C10" s="126">
        <v>0</v>
      </c>
      <c r="D10" s="122">
        <v>-2091635.12</v>
      </c>
    </row>
    <row r="11" spans="1:4">
      <c r="A11" s="123" t="s">
        <v>739</v>
      </c>
      <c r="B11" s="123" t="s">
        <v>733</v>
      </c>
      <c r="C11" s="125">
        <v>0</v>
      </c>
      <c r="D11" s="125">
        <v>29687.5</v>
      </c>
    </row>
    <row r="12" spans="1:4">
      <c r="A12" s="121" t="s">
        <v>739</v>
      </c>
      <c r="B12" s="121" t="s">
        <v>734</v>
      </c>
      <c r="C12" s="126">
        <v>0</v>
      </c>
      <c r="D12" s="126">
        <v>237500</v>
      </c>
    </row>
    <row r="13" spans="1:4">
      <c r="A13" s="123" t="s">
        <v>736</v>
      </c>
      <c r="B13" s="123" t="s">
        <v>691</v>
      </c>
      <c r="C13" s="125">
        <v>0</v>
      </c>
      <c r="D13" s="124">
        <v>-2368286.4500000002</v>
      </c>
    </row>
    <row r="14" spans="1:4">
      <c r="A14" s="121" t="s">
        <v>736</v>
      </c>
      <c r="B14" s="121" t="s">
        <v>692</v>
      </c>
      <c r="C14" s="126">
        <v>0</v>
      </c>
      <c r="D14" s="122">
        <v>-1292702.92</v>
      </c>
    </row>
    <row r="15" spans="1:4">
      <c r="A15" s="123" t="s">
        <v>736</v>
      </c>
      <c r="B15" s="123" t="s">
        <v>702</v>
      </c>
      <c r="C15" s="125">
        <v>0</v>
      </c>
      <c r="D15" s="124">
        <v>-130000</v>
      </c>
    </row>
    <row r="16" spans="1:4">
      <c r="A16" s="121" t="s">
        <v>736</v>
      </c>
      <c r="B16" s="121" t="s">
        <v>715</v>
      </c>
      <c r="C16" s="126">
        <v>0</v>
      </c>
      <c r="D16" s="122">
        <v>-274591.03999999998</v>
      </c>
    </row>
    <row r="17" spans="1:4">
      <c r="A17" s="123" t="s">
        <v>736</v>
      </c>
      <c r="B17" s="123" t="s">
        <v>717</v>
      </c>
      <c r="C17" s="125">
        <v>0</v>
      </c>
      <c r="D17" s="124">
        <v>-101875.2</v>
      </c>
    </row>
    <row r="18" spans="1:4">
      <c r="A18" s="121" t="s">
        <v>736</v>
      </c>
      <c r="B18" s="121" t="s">
        <v>720</v>
      </c>
      <c r="C18" s="122">
        <v>-71535.88</v>
      </c>
      <c r="D18" s="122">
        <v>-142993.28</v>
      </c>
    </row>
    <row r="19" spans="1:4">
      <c r="A19" s="123" t="s">
        <v>736</v>
      </c>
      <c r="B19" s="123" t="s">
        <v>727</v>
      </c>
      <c r="C19" s="125">
        <v>0</v>
      </c>
      <c r="D19" s="124">
        <v>-972878.24</v>
      </c>
    </row>
    <row r="20" spans="1:4">
      <c r="A20" s="121" t="s">
        <v>736</v>
      </c>
      <c r="B20" s="121" t="s">
        <v>728</v>
      </c>
      <c r="C20" s="126">
        <v>0</v>
      </c>
      <c r="D20" s="122">
        <v>-34326.19</v>
      </c>
    </row>
    <row r="21" spans="1:4">
      <c r="A21" s="123" t="s">
        <v>736</v>
      </c>
      <c r="B21" s="123" t="s">
        <v>729</v>
      </c>
      <c r="C21" s="125">
        <v>0</v>
      </c>
      <c r="D21" s="124">
        <v>-359360</v>
      </c>
    </row>
    <row r="22" spans="1:4">
      <c r="A22" s="121" t="s">
        <v>129</v>
      </c>
      <c r="B22" s="121" t="s">
        <v>694</v>
      </c>
      <c r="C22" s="126">
        <v>0</v>
      </c>
      <c r="D22" s="122">
        <v>-192203.34</v>
      </c>
    </row>
    <row r="23" spans="1:4">
      <c r="A23" s="123" t="s">
        <v>129</v>
      </c>
      <c r="B23" s="123" t="s">
        <v>697</v>
      </c>
      <c r="C23" s="125">
        <v>0</v>
      </c>
      <c r="D23" s="124">
        <v>-90000</v>
      </c>
    </row>
    <row r="24" spans="1:4">
      <c r="A24" s="121" t="s">
        <v>129</v>
      </c>
      <c r="B24" s="121" t="s">
        <v>700</v>
      </c>
      <c r="C24" s="126">
        <v>0</v>
      </c>
      <c r="D24" s="122">
        <v>-32660</v>
      </c>
    </row>
    <row r="25" spans="1:4">
      <c r="A25" s="123" t="s">
        <v>129</v>
      </c>
      <c r="B25" s="123" t="s">
        <v>701</v>
      </c>
      <c r="C25" s="125">
        <v>0</v>
      </c>
      <c r="D25" s="124">
        <v>-524528.16</v>
      </c>
    </row>
    <row r="26" spans="1:4">
      <c r="A26" s="121" t="s">
        <v>129</v>
      </c>
      <c r="B26" s="121" t="s">
        <v>718</v>
      </c>
      <c r="C26" s="126">
        <v>0</v>
      </c>
      <c r="D26" s="122">
        <v>-243</v>
      </c>
    </row>
    <row r="27" spans="1:4">
      <c r="A27" s="123" t="s">
        <v>129</v>
      </c>
      <c r="B27" s="123" t="s">
        <v>725</v>
      </c>
      <c r="C27" s="125">
        <v>0</v>
      </c>
      <c r="D27" s="125">
        <v>34352.35</v>
      </c>
    </row>
    <row r="28" spans="1:4">
      <c r="A28" s="121" t="s">
        <v>129</v>
      </c>
      <c r="B28" s="121" t="s">
        <v>731</v>
      </c>
      <c r="C28" s="126">
        <v>0</v>
      </c>
      <c r="D28" s="122">
        <v>-47904</v>
      </c>
    </row>
    <row r="29" spans="1:4">
      <c r="A29" s="123" t="s">
        <v>737</v>
      </c>
      <c r="B29" s="123" t="s">
        <v>693</v>
      </c>
      <c r="C29" s="124">
        <v>-0.01</v>
      </c>
      <c r="D29" s="124">
        <v>-5300843.5199999996</v>
      </c>
    </row>
    <row r="30" spans="1:4">
      <c r="A30" s="121" t="s">
        <v>737</v>
      </c>
      <c r="B30" s="121" t="s">
        <v>696</v>
      </c>
      <c r="C30" s="126">
        <v>0</v>
      </c>
      <c r="D30" s="122">
        <v>-298650</v>
      </c>
    </row>
    <row r="31" spans="1:4">
      <c r="A31" s="123" t="s">
        <v>737</v>
      </c>
      <c r="B31" s="123" t="s">
        <v>698</v>
      </c>
      <c r="C31" s="125">
        <v>132500</v>
      </c>
      <c r="D31" s="124">
        <v>-6562951.75</v>
      </c>
    </row>
    <row r="32" spans="1:4">
      <c r="A32" s="121" t="s">
        <v>737</v>
      </c>
      <c r="B32" s="121" t="s">
        <v>712</v>
      </c>
      <c r="C32" s="126">
        <v>100000</v>
      </c>
      <c r="D32" s="122">
        <v>-969500</v>
      </c>
    </row>
    <row r="33" spans="1:4">
      <c r="A33" s="123" t="s">
        <v>737</v>
      </c>
      <c r="B33" s="123" t="s">
        <v>713</v>
      </c>
      <c r="C33" s="125">
        <v>60000</v>
      </c>
      <c r="D33" s="124">
        <v>-10000</v>
      </c>
    </row>
    <row r="34" spans="1:4">
      <c r="A34" s="121" t="s">
        <v>737</v>
      </c>
      <c r="B34" s="121" t="s">
        <v>719</v>
      </c>
      <c r="C34" s="126">
        <v>35000</v>
      </c>
      <c r="D34" s="122">
        <v>-3013735</v>
      </c>
    </row>
    <row r="35" spans="1:4">
      <c r="A35" s="123" t="s">
        <v>737</v>
      </c>
      <c r="B35" s="123" t="s">
        <v>1411</v>
      </c>
      <c r="C35" s="125">
        <v>825000</v>
      </c>
      <c r="D35" s="124">
        <v>-3692727.6</v>
      </c>
    </row>
    <row r="36" spans="1:4">
      <c r="A36" s="121" t="s">
        <v>737</v>
      </c>
      <c r="B36" s="121" t="s">
        <v>726</v>
      </c>
      <c r="C36" s="122">
        <v>-922500</v>
      </c>
      <c r="D36" s="122">
        <v>-1224594.43</v>
      </c>
    </row>
    <row r="37" spans="1:4">
      <c r="A37" s="123" t="s">
        <v>738</v>
      </c>
      <c r="B37" s="123" t="s">
        <v>695</v>
      </c>
      <c r="C37" s="125">
        <v>0</v>
      </c>
      <c r="D37" s="124">
        <v>-2000</v>
      </c>
    </row>
    <row r="38" spans="1:4">
      <c r="A38" s="121" t="s">
        <v>738</v>
      </c>
      <c r="B38" s="121" t="s">
        <v>706</v>
      </c>
      <c r="C38" s="126">
        <v>0</v>
      </c>
      <c r="D38" s="122">
        <v>-236865.81</v>
      </c>
    </row>
    <row r="39" spans="1:4">
      <c r="A39" s="123" t="s">
        <v>738</v>
      </c>
      <c r="B39" s="123" t="s">
        <v>707</v>
      </c>
      <c r="C39" s="125">
        <v>0</v>
      </c>
      <c r="D39" s="124">
        <v>-1705740.28</v>
      </c>
    </row>
    <row r="40" spans="1:4">
      <c r="A40" s="121" t="s">
        <v>738</v>
      </c>
      <c r="B40" s="121" t="s">
        <v>710</v>
      </c>
      <c r="C40" s="126">
        <v>0</v>
      </c>
      <c r="D40" s="122">
        <v>-86855</v>
      </c>
    </row>
    <row r="41" spans="1:4">
      <c r="A41" s="123" t="s">
        <v>738</v>
      </c>
      <c r="B41" s="123" t="s">
        <v>711</v>
      </c>
      <c r="C41" s="125">
        <v>0</v>
      </c>
      <c r="D41" s="124">
        <v>-479870</v>
      </c>
    </row>
    <row r="42" spans="1:4">
      <c r="A42" s="121" t="s">
        <v>738</v>
      </c>
      <c r="B42" s="121" t="s">
        <v>714</v>
      </c>
      <c r="C42" s="126">
        <v>0</v>
      </c>
      <c r="D42" s="122">
        <v>-2435912.41</v>
      </c>
    </row>
    <row r="43" spans="1:4">
      <c r="A43" s="123" t="s">
        <v>738</v>
      </c>
      <c r="B43" s="123" t="s">
        <v>722</v>
      </c>
      <c r="C43" s="125">
        <v>315000</v>
      </c>
      <c r="D43" s="124">
        <v>-230000</v>
      </c>
    </row>
    <row r="44" spans="1:4">
      <c r="A44" s="121" t="s">
        <v>738</v>
      </c>
      <c r="B44" s="121" t="s">
        <v>723</v>
      </c>
      <c r="C44" s="126">
        <v>0</v>
      </c>
      <c r="D44" s="122">
        <v>-67904</v>
      </c>
    </row>
    <row r="45" spans="1:4">
      <c r="A45" s="123" t="s">
        <v>738</v>
      </c>
      <c r="B45" s="123" t="s">
        <v>724</v>
      </c>
      <c r="C45" s="125">
        <v>0</v>
      </c>
      <c r="D45" s="124">
        <v>-62570</v>
      </c>
    </row>
    <row r="46" spans="1:4">
      <c r="A46" s="127" t="s">
        <v>738</v>
      </c>
      <c r="B46" s="127" t="s">
        <v>730</v>
      </c>
      <c r="C46" s="133">
        <v>0</v>
      </c>
      <c r="D46" s="128">
        <v>-15000</v>
      </c>
    </row>
    <row r="47" spans="1:4">
      <c r="A47" s="129" t="s">
        <v>740</v>
      </c>
      <c r="B47" s="129"/>
      <c r="C47" s="134">
        <v>858464.11</v>
      </c>
      <c r="D47" s="130">
        <v>-53639826.020000003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668F7-BAAC-4E1F-A22A-4C5ADA90352B}">
  <dimension ref="A1:AH201"/>
  <sheetViews>
    <sheetView workbookViewId="0">
      <selection activeCell="B1" sqref="B1"/>
    </sheetView>
  </sheetViews>
  <sheetFormatPr defaultRowHeight="15"/>
  <sheetData>
    <row r="1" spans="1:34" s="116" customFormat="1" ht="45">
      <c r="A1" s="116" t="s">
        <v>735</v>
      </c>
      <c r="B1" s="118" t="s">
        <v>688</v>
      </c>
      <c r="C1" s="118" t="s">
        <v>741</v>
      </c>
      <c r="D1" s="116" t="s">
        <v>742</v>
      </c>
      <c r="E1" s="117" t="s">
        <v>743</v>
      </c>
      <c r="F1" s="116" t="s">
        <v>744</v>
      </c>
      <c r="G1" s="117" t="s">
        <v>745</v>
      </c>
      <c r="H1" s="117" t="s">
        <v>746</v>
      </c>
      <c r="I1" s="117" t="s">
        <v>747</v>
      </c>
      <c r="J1" s="117" t="s">
        <v>748</v>
      </c>
      <c r="K1" s="117" t="s">
        <v>749</v>
      </c>
      <c r="L1" s="118" t="s">
        <v>750</v>
      </c>
      <c r="M1" s="120" t="s">
        <v>752</v>
      </c>
      <c r="N1" s="116" t="s">
        <v>10</v>
      </c>
      <c r="O1" s="117" t="s">
        <v>753</v>
      </c>
      <c r="P1" s="116" t="s">
        <v>754</v>
      </c>
      <c r="Q1" s="117" t="s">
        <v>755</v>
      </c>
      <c r="R1" s="116" t="s">
        <v>756</v>
      </c>
      <c r="S1" s="120" t="s">
        <v>757</v>
      </c>
      <c r="T1" s="116" t="s">
        <v>758</v>
      </c>
      <c r="U1" s="116" t="s">
        <v>759</v>
      </c>
      <c r="V1" s="117" t="s">
        <v>760</v>
      </c>
      <c r="W1" s="117" t="s">
        <v>761</v>
      </c>
      <c r="X1" s="118" t="s">
        <v>762</v>
      </c>
      <c r="Y1" s="116" t="s">
        <v>763</v>
      </c>
      <c r="Z1" s="116" t="s">
        <v>764</v>
      </c>
      <c r="AA1" s="117" t="s">
        <v>765</v>
      </c>
      <c r="AB1" s="117" t="s">
        <v>766</v>
      </c>
      <c r="AC1" s="117" t="s">
        <v>767</v>
      </c>
      <c r="AD1" s="118" t="s">
        <v>751</v>
      </c>
      <c r="AE1" s="116" t="s">
        <v>768</v>
      </c>
      <c r="AF1" s="116" t="s">
        <v>769</v>
      </c>
    </row>
    <row r="2" spans="1:34">
      <c r="A2" t="s">
        <v>739</v>
      </c>
      <c r="B2" s="119">
        <v>12255</v>
      </c>
      <c r="C2" s="119">
        <v>200330</v>
      </c>
      <c r="E2" t="s">
        <v>772</v>
      </c>
      <c r="G2">
        <v>10036396</v>
      </c>
      <c r="H2">
        <v>1435734</v>
      </c>
      <c r="I2" t="s">
        <v>773</v>
      </c>
      <c r="J2">
        <v>5</v>
      </c>
      <c r="K2">
        <v>22</v>
      </c>
      <c r="L2" s="119">
        <v>202500</v>
      </c>
      <c r="M2" s="119">
        <v>44671</v>
      </c>
      <c r="N2" s="50">
        <v>44692</v>
      </c>
      <c r="O2" s="50">
        <v>44692</v>
      </c>
      <c r="P2" t="s">
        <v>1349</v>
      </c>
      <c r="Q2" t="s">
        <v>1350</v>
      </c>
      <c r="R2" t="s">
        <v>1351</v>
      </c>
      <c r="S2" s="119" t="s">
        <v>1352</v>
      </c>
      <c r="T2" t="s">
        <v>1353</v>
      </c>
      <c r="X2" s="119"/>
      <c r="Y2" t="s">
        <v>779</v>
      </c>
      <c r="Z2" t="s">
        <v>780</v>
      </c>
      <c r="AA2" t="s">
        <v>781</v>
      </c>
      <c r="AB2" t="s">
        <v>782</v>
      </c>
      <c r="AC2">
        <v>12255.20033</v>
      </c>
      <c r="AD2" s="119">
        <v>223568</v>
      </c>
      <c r="AH2" t="s">
        <v>1405</v>
      </c>
    </row>
    <row r="3" spans="1:34">
      <c r="A3" t="s">
        <v>739</v>
      </c>
      <c r="B3" s="119">
        <v>12267</v>
      </c>
      <c r="C3" s="119">
        <v>200330</v>
      </c>
      <c r="E3" t="s">
        <v>772</v>
      </c>
      <c r="G3">
        <v>10036465</v>
      </c>
      <c r="H3">
        <v>1435803</v>
      </c>
      <c r="I3" t="s">
        <v>773</v>
      </c>
      <c r="J3">
        <v>5</v>
      </c>
      <c r="K3">
        <v>22</v>
      </c>
      <c r="L3" s="119">
        <v>30000</v>
      </c>
      <c r="M3" s="119">
        <v>44622</v>
      </c>
      <c r="N3" s="50">
        <v>44692</v>
      </c>
      <c r="O3" s="50">
        <v>44692</v>
      </c>
      <c r="P3" t="s">
        <v>1354</v>
      </c>
      <c r="Q3" t="s">
        <v>350</v>
      </c>
      <c r="R3" t="s">
        <v>1355</v>
      </c>
      <c r="S3" s="119" t="s">
        <v>1356</v>
      </c>
      <c r="T3" t="s">
        <v>1239</v>
      </c>
      <c r="X3" s="119"/>
      <c r="Y3" t="s">
        <v>779</v>
      </c>
      <c r="Z3" t="s">
        <v>780</v>
      </c>
      <c r="AA3" t="s">
        <v>781</v>
      </c>
      <c r="AB3" t="s">
        <v>782</v>
      </c>
      <c r="AC3">
        <v>12267.20033</v>
      </c>
      <c r="AD3" s="119">
        <v>221995</v>
      </c>
      <c r="AH3">
        <v>221995</v>
      </c>
    </row>
    <row r="4" spans="1:34">
      <c r="A4" t="s">
        <v>739</v>
      </c>
      <c r="B4" s="119">
        <v>12286</v>
      </c>
      <c r="C4" s="119">
        <v>200330</v>
      </c>
      <c r="E4" t="s">
        <v>772</v>
      </c>
      <c r="G4">
        <v>10036636</v>
      </c>
      <c r="H4">
        <v>1435974</v>
      </c>
      <c r="I4" t="s">
        <v>773</v>
      </c>
      <c r="J4">
        <v>5</v>
      </c>
      <c r="K4">
        <v>22</v>
      </c>
      <c r="L4" s="119">
        <v>82500</v>
      </c>
      <c r="M4" s="119">
        <v>44665</v>
      </c>
      <c r="N4" s="50">
        <v>44692</v>
      </c>
      <c r="O4" s="50">
        <v>44692</v>
      </c>
      <c r="P4" t="s">
        <v>1357</v>
      </c>
      <c r="Q4" t="s">
        <v>473</v>
      </c>
      <c r="R4" t="s">
        <v>1358</v>
      </c>
      <c r="S4" s="119" t="s">
        <v>1359</v>
      </c>
      <c r="T4" t="s">
        <v>1360</v>
      </c>
      <c r="X4" s="119"/>
      <c r="Y4" t="s">
        <v>779</v>
      </c>
      <c r="Z4" t="s">
        <v>780</v>
      </c>
      <c r="AA4" t="s">
        <v>781</v>
      </c>
      <c r="AB4" t="s">
        <v>782</v>
      </c>
      <c r="AC4">
        <v>12286.20033</v>
      </c>
      <c r="AD4" s="119">
        <v>222534</v>
      </c>
      <c r="AH4">
        <v>222534</v>
      </c>
    </row>
    <row r="5" spans="1:34">
      <c r="A5" t="s">
        <v>739</v>
      </c>
      <c r="B5" s="119">
        <v>12286</v>
      </c>
      <c r="C5" s="119">
        <v>200330</v>
      </c>
      <c r="E5" t="s">
        <v>786</v>
      </c>
      <c r="G5">
        <v>10040445</v>
      </c>
      <c r="H5">
        <v>19062943</v>
      </c>
      <c r="I5" t="s">
        <v>807</v>
      </c>
      <c r="J5">
        <v>5</v>
      </c>
      <c r="K5">
        <v>22</v>
      </c>
      <c r="L5" s="119">
        <v>-30000</v>
      </c>
      <c r="M5" s="119">
        <v>44712</v>
      </c>
      <c r="N5" s="50">
        <v>44712</v>
      </c>
      <c r="O5" s="50">
        <v>44700</v>
      </c>
      <c r="P5" t="s">
        <v>1361</v>
      </c>
      <c r="Q5" t="s">
        <v>1361</v>
      </c>
      <c r="S5" s="119">
        <v>0</v>
      </c>
      <c r="T5" t="s">
        <v>1362</v>
      </c>
      <c r="X5" s="119"/>
      <c r="Y5" t="s">
        <v>779</v>
      </c>
      <c r="Z5" t="s">
        <v>780</v>
      </c>
      <c r="AA5" t="s">
        <v>1363</v>
      </c>
      <c r="AB5" t="s">
        <v>782</v>
      </c>
      <c r="AC5">
        <v>12286.20033</v>
      </c>
      <c r="AD5" s="119">
        <v>221990</v>
      </c>
      <c r="AH5" t="s">
        <v>1405</v>
      </c>
    </row>
    <row r="6" spans="1:34">
      <c r="A6" t="s">
        <v>739</v>
      </c>
      <c r="B6" s="119">
        <v>12293</v>
      </c>
      <c r="C6" s="119">
        <v>200330</v>
      </c>
      <c r="E6" t="s">
        <v>772</v>
      </c>
      <c r="G6">
        <v>10034853</v>
      </c>
      <c r="H6">
        <v>1435475</v>
      </c>
      <c r="I6" t="s">
        <v>773</v>
      </c>
      <c r="J6">
        <v>5</v>
      </c>
      <c r="K6">
        <v>22</v>
      </c>
      <c r="L6" s="119">
        <v>100000</v>
      </c>
      <c r="M6" s="119">
        <v>44671</v>
      </c>
      <c r="N6" s="50">
        <v>44690</v>
      </c>
      <c r="O6" s="50">
        <v>44690</v>
      </c>
      <c r="P6" t="s">
        <v>1364</v>
      </c>
      <c r="Q6" t="s">
        <v>1365</v>
      </c>
      <c r="R6" t="s">
        <v>1366</v>
      </c>
      <c r="S6" s="119" t="s">
        <v>1367</v>
      </c>
      <c r="T6" t="s">
        <v>1368</v>
      </c>
      <c r="X6" s="119"/>
      <c r="Y6" t="s">
        <v>779</v>
      </c>
      <c r="Z6" t="s">
        <v>780</v>
      </c>
      <c r="AA6" t="s">
        <v>781</v>
      </c>
      <c r="AB6" t="s">
        <v>782</v>
      </c>
      <c r="AC6">
        <v>12293.20033</v>
      </c>
      <c r="AD6" s="119">
        <v>221207</v>
      </c>
      <c r="AH6">
        <v>221207</v>
      </c>
    </row>
    <row r="7" spans="1:34">
      <c r="A7" t="s">
        <v>736</v>
      </c>
      <c r="B7" s="119">
        <v>12292</v>
      </c>
      <c r="C7" s="119">
        <v>200330</v>
      </c>
      <c r="E7" t="s">
        <v>786</v>
      </c>
      <c r="G7">
        <v>10033275</v>
      </c>
      <c r="H7">
        <v>19011017</v>
      </c>
      <c r="I7" t="s">
        <v>807</v>
      </c>
      <c r="J7">
        <v>5</v>
      </c>
      <c r="K7">
        <v>22</v>
      </c>
      <c r="L7" s="119">
        <v>-50000</v>
      </c>
      <c r="M7" s="119">
        <v>44682</v>
      </c>
      <c r="N7" s="50">
        <v>44682</v>
      </c>
      <c r="O7" s="50">
        <v>44685</v>
      </c>
      <c r="P7" t="s">
        <v>1369</v>
      </c>
      <c r="Q7" t="s">
        <v>1370</v>
      </c>
      <c r="S7" s="119">
        <v>0</v>
      </c>
      <c r="T7" t="s">
        <v>1371</v>
      </c>
      <c r="X7" s="119"/>
      <c r="Y7" t="s">
        <v>779</v>
      </c>
      <c r="Z7" t="s">
        <v>780</v>
      </c>
      <c r="AA7" t="s">
        <v>1271</v>
      </c>
      <c r="AB7" t="s">
        <v>1000</v>
      </c>
      <c r="AC7">
        <v>12292.20033</v>
      </c>
      <c r="AD7" s="119"/>
      <c r="AH7">
        <v>0</v>
      </c>
    </row>
    <row r="8" spans="1:34">
      <c r="A8" t="s">
        <v>736</v>
      </c>
      <c r="B8" s="119">
        <v>12292</v>
      </c>
      <c r="C8" s="119">
        <v>200330</v>
      </c>
      <c r="E8" t="s">
        <v>786</v>
      </c>
      <c r="G8">
        <v>10033759</v>
      </c>
      <c r="H8">
        <v>19011109</v>
      </c>
      <c r="I8" t="s">
        <v>807</v>
      </c>
      <c r="J8">
        <v>5</v>
      </c>
      <c r="K8">
        <v>22</v>
      </c>
      <c r="L8" s="119">
        <v>-21535.88</v>
      </c>
      <c r="M8" s="119">
        <v>44682</v>
      </c>
      <c r="N8" s="50">
        <v>44682</v>
      </c>
      <c r="O8" s="50">
        <v>44686</v>
      </c>
      <c r="P8" t="s">
        <v>1372</v>
      </c>
      <c r="Q8" t="s">
        <v>1373</v>
      </c>
      <c r="S8" s="119">
        <v>0</v>
      </c>
      <c r="T8" t="s">
        <v>1190</v>
      </c>
      <c r="X8" s="119"/>
      <c r="Y8" t="s">
        <v>779</v>
      </c>
      <c r="Z8" t="s">
        <v>780</v>
      </c>
      <c r="AA8" t="s">
        <v>1271</v>
      </c>
      <c r="AB8" t="s">
        <v>1000</v>
      </c>
      <c r="AC8">
        <v>12292.20033</v>
      </c>
      <c r="AD8" s="119"/>
      <c r="AH8">
        <v>0</v>
      </c>
    </row>
    <row r="9" spans="1:34">
      <c r="A9" t="s">
        <v>737</v>
      </c>
      <c r="B9" s="119">
        <v>12211</v>
      </c>
      <c r="C9" s="119">
        <v>200330</v>
      </c>
      <c r="E9" t="s">
        <v>772</v>
      </c>
      <c r="F9" t="s">
        <v>772</v>
      </c>
      <c r="G9">
        <v>10029433</v>
      </c>
      <c r="H9">
        <v>1433754</v>
      </c>
      <c r="I9" t="s">
        <v>773</v>
      </c>
      <c r="J9">
        <v>5</v>
      </c>
      <c r="K9">
        <v>22</v>
      </c>
      <c r="L9" s="119">
        <v>44999.99</v>
      </c>
      <c r="M9" s="119">
        <v>44671</v>
      </c>
      <c r="N9" s="50">
        <v>44684</v>
      </c>
      <c r="O9" s="50">
        <v>44676</v>
      </c>
      <c r="P9" t="s">
        <v>1306</v>
      </c>
      <c r="Q9" t="s">
        <v>76</v>
      </c>
      <c r="R9" t="s">
        <v>1307</v>
      </c>
      <c r="S9" s="119" t="s">
        <v>1308</v>
      </c>
      <c r="T9" t="s">
        <v>1309</v>
      </c>
      <c r="X9" s="119"/>
      <c r="Y9" t="s">
        <v>779</v>
      </c>
      <c r="Z9" t="s">
        <v>780</v>
      </c>
      <c r="AA9" t="s">
        <v>781</v>
      </c>
      <c r="AB9" t="s">
        <v>1165</v>
      </c>
      <c r="AC9">
        <v>12211.20033</v>
      </c>
      <c r="AD9" s="119">
        <v>214851</v>
      </c>
      <c r="AH9">
        <v>214851</v>
      </c>
    </row>
    <row r="10" spans="1:34">
      <c r="A10" t="s">
        <v>737</v>
      </c>
      <c r="B10" s="119">
        <v>12211</v>
      </c>
      <c r="C10" s="119">
        <v>200330</v>
      </c>
      <c r="E10" t="s">
        <v>772</v>
      </c>
      <c r="F10" t="s">
        <v>772</v>
      </c>
      <c r="G10">
        <v>10029433</v>
      </c>
      <c r="H10">
        <v>1433754</v>
      </c>
      <c r="I10" t="s">
        <v>773</v>
      </c>
      <c r="J10">
        <v>5</v>
      </c>
      <c r="K10">
        <v>22</v>
      </c>
      <c r="L10" s="119">
        <v>-45000</v>
      </c>
      <c r="M10" s="119">
        <v>44671</v>
      </c>
      <c r="N10" s="50">
        <v>44684</v>
      </c>
      <c r="O10" s="50">
        <v>44676</v>
      </c>
      <c r="P10" t="s">
        <v>1311</v>
      </c>
      <c r="Q10" t="s">
        <v>76</v>
      </c>
      <c r="R10" t="s">
        <v>1307</v>
      </c>
      <c r="S10" s="119" t="s">
        <v>1308</v>
      </c>
      <c r="T10" t="s">
        <v>1309</v>
      </c>
      <c r="X10" s="119"/>
      <c r="Y10" t="s">
        <v>779</v>
      </c>
      <c r="Z10" t="s">
        <v>780</v>
      </c>
      <c r="AA10" t="s">
        <v>781</v>
      </c>
      <c r="AB10" t="s">
        <v>1165</v>
      </c>
      <c r="AC10">
        <v>12211.20033</v>
      </c>
      <c r="AD10" s="119">
        <v>214851</v>
      </c>
      <c r="AH10">
        <v>214851</v>
      </c>
    </row>
    <row r="11" spans="1:34">
      <c r="A11" t="s">
        <v>737</v>
      </c>
      <c r="B11" s="119">
        <v>12234</v>
      </c>
      <c r="C11" s="119">
        <v>200330</v>
      </c>
      <c r="E11" t="s">
        <v>772</v>
      </c>
      <c r="G11">
        <v>10031984</v>
      </c>
      <c r="H11">
        <v>1434476</v>
      </c>
      <c r="I11" t="s">
        <v>773</v>
      </c>
      <c r="J11">
        <v>5</v>
      </c>
      <c r="K11">
        <v>22</v>
      </c>
      <c r="L11" s="119">
        <v>132500</v>
      </c>
      <c r="M11" s="119">
        <v>44662</v>
      </c>
      <c r="N11" s="50">
        <v>44683</v>
      </c>
      <c r="O11" s="50">
        <v>44683</v>
      </c>
      <c r="P11" t="s">
        <v>1374</v>
      </c>
      <c r="Q11" t="s">
        <v>210</v>
      </c>
      <c r="R11" t="s">
        <v>1375</v>
      </c>
      <c r="S11" s="119" t="s">
        <v>1376</v>
      </c>
      <c r="T11" t="s">
        <v>1314</v>
      </c>
      <c r="X11" s="119"/>
      <c r="Y11" t="s">
        <v>779</v>
      </c>
      <c r="Z11" t="s">
        <v>780</v>
      </c>
      <c r="AA11" t="s">
        <v>781</v>
      </c>
      <c r="AB11" t="s">
        <v>782</v>
      </c>
      <c r="AC11">
        <v>12234.20033</v>
      </c>
      <c r="AD11" s="119">
        <v>223631</v>
      </c>
      <c r="AH11">
        <v>223631</v>
      </c>
    </row>
    <row r="12" spans="1:34">
      <c r="A12" t="s">
        <v>737</v>
      </c>
      <c r="B12" s="119">
        <v>12277</v>
      </c>
      <c r="C12" s="119">
        <v>200330</v>
      </c>
      <c r="E12" t="s">
        <v>786</v>
      </c>
      <c r="G12">
        <v>10033023</v>
      </c>
      <c r="H12">
        <v>19011005</v>
      </c>
      <c r="I12" t="s">
        <v>807</v>
      </c>
      <c r="J12">
        <v>5</v>
      </c>
      <c r="K12">
        <v>22</v>
      </c>
      <c r="L12" s="119">
        <v>100000</v>
      </c>
      <c r="M12" s="119">
        <v>44712</v>
      </c>
      <c r="N12" s="50">
        <v>44712</v>
      </c>
      <c r="O12" s="50">
        <v>44685</v>
      </c>
      <c r="P12" t="s">
        <v>1377</v>
      </c>
      <c r="Q12" t="s">
        <v>1378</v>
      </c>
      <c r="S12" s="119">
        <v>0</v>
      </c>
      <c r="T12" t="s">
        <v>1379</v>
      </c>
      <c r="W12" s="115">
        <v>44775</v>
      </c>
      <c r="X12" s="119"/>
      <c r="Y12" t="s">
        <v>779</v>
      </c>
      <c r="Z12" t="s">
        <v>780</v>
      </c>
      <c r="AA12" t="s">
        <v>912</v>
      </c>
      <c r="AB12" t="s">
        <v>782</v>
      </c>
      <c r="AC12">
        <v>12277.20033</v>
      </c>
      <c r="AD12" s="119">
        <v>220247</v>
      </c>
      <c r="AH12">
        <v>220247</v>
      </c>
    </row>
    <row r="13" spans="1:34">
      <c r="A13" t="s">
        <v>737</v>
      </c>
      <c r="B13" s="119">
        <v>12279</v>
      </c>
      <c r="C13" s="119">
        <v>200330</v>
      </c>
      <c r="E13" t="s">
        <v>772</v>
      </c>
      <c r="G13">
        <v>10033203</v>
      </c>
      <c r="H13">
        <v>1434829</v>
      </c>
      <c r="I13" t="s">
        <v>773</v>
      </c>
      <c r="J13">
        <v>5</v>
      </c>
      <c r="K13">
        <v>22</v>
      </c>
      <c r="L13" s="119">
        <v>60000</v>
      </c>
      <c r="M13" s="119">
        <v>43788</v>
      </c>
      <c r="N13" s="50">
        <v>44685</v>
      </c>
      <c r="O13" s="50">
        <v>44685</v>
      </c>
      <c r="P13" t="s">
        <v>1380</v>
      </c>
      <c r="Q13" t="s">
        <v>1381</v>
      </c>
      <c r="R13" t="s">
        <v>1382</v>
      </c>
      <c r="S13" s="119" t="s">
        <v>1383</v>
      </c>
      <c r="T13" t="s">
        <v>1384</v>
      </c>
      <c r="X13" s="119"/>
      <c r="Y13" t="s">
        <v>779</v>
      </c>
      <c r="Z13" t="s">
        <v>780</v>
      </c>
      <c r="AA13" t="s">
        <v>781</v>
      </c>
      <c r="AB13" t="s">
        <v>782</v>
      </c>
      <c r="AC13">
        <v>12279.20033</v>
      </c>
      <c r="AD13" s="119">
        <v>221411</v>
      </c>
      <c r="AH13">
        <v>221411</v>
      </c>
    </row>
    <row r="14" spans="1:34">
      <c r="A14" t="s">
        <v>737</v>
      </c>
      <c r="B14" s="119">
        <v>12291</v>
      </c>
      <c r="C14" s="119">
        <v>200330</v>
      </c>
      <c r="E14" t="s">
        <v>772</v>
      </c>
      <c r="G14">
        <v>10032879</v>
      </c>
      <c r="H14">
        <v>1434732</v>
      </c>
      <c r="I14" t="s">
        <v>773</v>
      </c>
      <c r="J14">
        <v>5</v>
      </c>
      <c r="K14">
        <v>22</v>
      </c>
      <c r="L14" s="119">
        <v>35000</v>
      </c>
      <c r="M14" s="119">
        <v>43908</v>
      </c>
      <c r="N14" s="50">
        <v>44685</v>
      </c>
      <c r="O14" s="50">
        <v>44685</v>
      </c>
      <c r="P14" t="s">
        <v>1385</v>
      </c>
      <c r="Q14" t="s">
        <v>485</v>
      </c>
      <c r="R14" t="s">
        <v>1386</v>
      </c>
      <c r="S14" s="119" t="s">
        <v>1387</v>
      </c>
      <c r="T14" t="s">
        <v>1388</v>
      </c>
      <c r="X14" s="119"/>
      <c r="Y14" t="s">
        <v>779</v>
      </c>
      <c r="Z14" t="s">
        <v>780</v>
      </c>
      <c r="AA14" t="s">
        <v>781</v>
      </c>
      <c r="AB14" t="s">
        <v>782</v>
      </c>
      <c r="AC14">
        <v>12291.20033</v>
      </c>
      <c r="AD14" s="119">
        <v>211897</v>
      </c>
      <c r="AH14">
        <v>211897</v>
      </c>
    </row>
    <row r="15" spans="1:34">
      <c r="A15" t="s">
        <v>737</v>
      </c>
      <c r="B15" s="119">
        <v>12297</v>
      </c>
      <c r="C15" s="119">
        <v>200330</v>
      </c>
      <c r="E15" t="s">
        <v>772</v>
      </c>
      <c r="G15">
        <v>10031607</v>
      </c>
      <c r="H15">
        <v>1434271</v>
      </c>
      <c r="I15" t="s">
        <v>773</v>
      </c>
      <c r="J15">
        <v>5</v>
      </c>
      <c r="K15">
        <v>22</v>
      </c>
      <c r="L15" s="119">
        <v>825000</v>
      </c>
      <c r="M15" s="119">
        <v>44582</v>
      </c>
      <c r="N15" s="50">
        <v>44683</v>
      </c>
      <c r="O15" s="50">
        <v>44683</v>
      </c>
      <c r="P15" t="s">
        <v>1389</v>
      </c>
      <c r="Q15" t="s">
        <v>599</v>
      </c>
      <c r="R15" t="s">
        <v>1390</v>
      </c>
      <c r="S15" s="119" t="s">
        <v>1391</v>
      </c>
      <c r="T15" t="s">
        <v>947</v>
      </c>
      <c r="X15" s="119"/>
      <c r="Y15" t="s">
        <v>779</v>
      </c>
      <c r="Z15" t="s">
        <v>780</v>
      </c>
      <c r="AA15" t="s">
        <v>781</v>
      </c>
      <c r="AB15" t="s">
        <v>782</v>
      </c>
      <c r="AC15">
        <v>12297.20033</v>
      </c>
      <c r="AD15" s="119">
        <v>223102</v>
      </c>
      <c r="AH15">
        <v>223102</v>
      </c>
    </row>
    <row r="16" spans="1:34">
      <c r="A16" t="s">
        <v>737</v>
      </c>
      <c r="B16" s="119">
        <v>12303</v>
      </c>
      <c r="C16" s="119">
        <v>200330</v>
      </c>
      <c r="E16" t="s">
        <v>786</v>
      </c>
      <c r="G16">
        <v>10037777</v>
      </c>
      <c r="H16">
        <v>19054782</v>
      </c>
      <c r="I16" t="s">
        <v>807</v>
      </c>
      <c r="J16">
        <v>5</v>
      </c>
      <c r="K16">
        <v>22</v>
      </c>
      <c r="L16" s="119">
        <v>-900000</v>
      </c>
      <c r="M16" s="119">
        <v>44682</v>
      </c>
      <c r="N16" s="50">
        <v>44682</v>
      </c>
      <c r="O16" s="50">
        <v>44694</v>
      </c>
      <c r="P16" t="s">
        <v>1392</v>
      </c>
      <c r="Q16" t="s">
        <v>1393</v>
      </c>
      <c r="S16" s="119">
        <v>0</v>
      </c>
      <c r="T16" t="s">
        <v>1211</v>
      </c>
      <c r="W16" s="115">
        <v>44836</v>
      </c>
      <c r="X16" s="119"/>
      <c r="Y16" t="s">
        <v>779</v>
      </c>
      <c r="Z16" t="s">
        <v>780</v>
      </c>
      <c r="AA16" t="s">
        <v>1394</v>
      </c>
      <c r="AB16" t="s">
        <v>782</v>
      </c>
      <c r="AC16">
        <v>12303.20033</v>
      </c>
      <c r="AD16" s="119">
        <v>222864</v>
      </c>
      <c r="AH16">
        <v>222864</v>
      </c>
    </row>
    <row r="17" spans="1:34">
      <c r="A17" t="s">
        <v>737</v>
      </c>
      <c r="B17" s="119">
        <v>12303</v>
      </c>
      <c r="C17" s="119">
        <v>200330</v>
      </c>
      <c r="E17" t="s">
        <v>786</v>
      </c>
      <c r="G17">
        <v>10039714</v>
      </c>
      <c r="H17">
        <v>19061711</v>
      </c>
      <c r="I17" t="s">
        <v>807</v>
      </c>
      <c r="J17">
        <v>5</v>
      </c>
      <c r="K17">
        <v>22</v>
      </c>
      <c r="L17" s="119">
        <v>-22500</v>
      </c>
      <c r="M17" s="119">
        <v>44712</v>
      </c>
      <c r="N17" s="50">
        <v>44712</v>
      </c>
      <c r="O17" s="50">
        <v>44699</v>
      </c>
      <c r="P17" t="s">
        <v>1395</v>
      </c>
      <c r="Q17" t="s">
        <v>1395</v>
      </c>
      <c r="S17" s="119">
        <v>0</v>
      </c>
      <c r="T17" t="s">
        <v>1396</v>
      </c>
      <c r="X17" s="119"/>
      <c r="Y17" t="s">
        <v>779</v>
      </c>
      <c r="Z17" t="s">
        <v>780</v>
      </c>
      <c r="AA17" t="s">
        <v>1394</v>
      </c>
      <c r="AB17" t="s">
        <v>782</v>
      </c>
      <c r="AC17">
        <v>12303.20033</v>
      </c>
      <c r="AD17" s="119"/>
      <c r="AH17">
        <v>0</v>
      </c>
    </row>
    <row r="18" spans="1:34">
      <c r="A18" t="s">
        <v>738</v>
      </c>
      <c r="B18" s="119">
        <v>12294</v>
      </c>
      <c r="C18" s="119">
        <v>200330</v>
      </c>
      <c r="E18" t="s">
        <v>786</v>
      </c>
      <c r="G18">
        <v>10031194</v>
      </c>
      <c r="H18">
        <v>19009132</v>
      </c>
      <c r="I18" t="s">
        <v>807</v>
      </c>
      <c r="J18">
        <v>5</v>
      </c>
      <c r="K18">
        <v>22</v>
      </c>
      <c r="L18" s="119">
        <v>250000</v>
      </c>
      <c r="M18" s="119">
        <v>44712</v>
      </c>
      <c r="N18" s="50">
        <v>44712</v>
      </c>
      <c r="O18" s="50">
        <v>44680</v>
      </c>
      <c r="P18" t="s">
        <v>1397</v>
      </c>
      <c r="Q18" t="s">
        <v>1398</v>
      </c>
      <c r="S18" s="119">
        <v>0</v>
      </c>
      <c r="T18" t="s">
        <v>1399</v>
      </c>
      <c r="X18" s="119"/>
      <c r="Y18" t="s">
        <v>779</v>
      </c>
      <c r="Z18" t="s">
        <v>780</v>
      </c>
      <c r="AA18" t="s">
        <v>1006</v>
      </c>
      <c r="AB18" t="s">
        <v>964</v>
      </c>
      <c r="AC18">
        <v>12294.20033</v>
      </c>
      <c r="AD18" s="119">
        <v>186253</v>
      </c>
      <c r="AH18">
        <v>186253</v>
      </c>
    </row>
    <row r="19" spans="1:34">
      <c r="A19" t="s">
        <v>738</v>
      </c>
      <c r="B19" s="119">
        <v>12294</v>
      </c>
      <c r="C19" s="119">
        <v>200330</v>
      </c>
      <c r="E19" t="s">
        <v>786</v>
      </c>
      <c r="G19">
        <v>10031217</v>
      </c>
      <c r="H19">
        <v>19009134</v>
      </c>
      <c r="I19" t="s">
        <v>807</v>
      </c>
      <c r="J19">
        <v>5</v>
      </c>
      <c r="K19">
        <v>22</v>
      </c>
      <c r="L19" s="119">
        <v>45000</v>
      </c>
      <c r="M19" s="119">
        <v>44712</v>
      </c>
      <c r="N19" s="50">
        <v>44712</v>
      </c>
      <c r="O19" s="50">
        <v>44680</v>
      </c>
      <c r="P19" t="s">
        <v>1400</v>
      </c>
      <c r="Q19" t="s">
        <v>1401</v>
      </c>
      <c r="S19" s="119">
        <v>0</v>
      </c>
      <c r="T19" t="s">
        <v>1402</v>
      </c>
      <c r="X19" s="119"/>
      <c r="Y19" t="s">
        <v>779</v>
      </c>
      <c r="Z19" t="s">
        <v>780</v>
      </c>
      <c r="AA19" t="s">
        <v>1006</v>
      </c>
      <c r="AB19" t="s">
        <v>782</v>
      </c>
      <c r="AC19">
        <v>12294.20033</v>
      </c>
      <c r="AD19" s="119">
        <v>180355</v>
      </c>
      <c r="AH19">
        <v>180355</v>
      </c>
    </row>
    <row r="20" spans="1:34">
      <c r="A20" t="s">
        <v>738</v>
      </c>
      <c r="B20" s="119">
        <v>12294</v>
      </c>
      <c r="C20" s="119">
        <v>200330</v>
      </c>
      <c r="E20" t="s">
        <v>786</v>
      </c>
      <c r="G20">
        <v>10031217</v>
      </c>
      <c r="H20">
        <v>19009136</v>
      </c>
      <c r="I20" t="s">
        <v>807</v>
      </c>
      <c r="J20">
        <v>5</v>
      </c>
      <c r="K20">
        <v>22</v>
      </c>
      <c r="L20" s="119">
        <v>20000</v>
      </c>
      <c r="M20" s="119">
        <v>44712</v>
      </c>
      <c r="N20" s="50">
        <v>44712</v>
      </c>
      <c r="O20" s="50">
        <v>44680</v>
      </c>
      <c r="Q20" t="s">
        <v>1403</v>
      </c>
      <c r="S20" s="119">
        <v>0</v>
      </c>
      <c r="T20" t="s">
        <v>1404</v>
      </c>
      <c r="X20" s="119"/>
      <c r="Y20" t="s">
        <v>779</v>
      </c>
      <c r="Z20" t="s">
        <v>780</v>
      </c>
      <c r="AA20" t="s">
        <v>1006</v>
      </c>
      <c r="AB20" t="s">
        <v>782</v>
      </c>
      <c r="AC20">
        <v>12294.20033</v>
      </c>
      <c r="AD20" s="119">
        <v>198000</v>
      </c>
      <c r="AH20">
        <v>198000</v>
      </c>
    </row>
    <row r="21" spans="1:34" s="116" customFormat="1">
      <c r="A21" s="116" t="s">
        <v>740</v>
      </c>
      <c r="B21" s="120"/>
      <c r="C21" s="120"/>
      <c r="L21" s="120">
        <v>858464.11</v>
      </c>
      <c r="M21" s="120"/>
      <c r="S21" s="120"/>
      <c r="X21" s="120"/>
      <c r="AD21" s="120"/>
    </row>
    <row r="23" spans="1:34" ht="31.5">
      <c r="A23" s="97" t="s">
        <v>735</v>
      </c>
      <c r="B23" s="97" t="s">
        <v>688</v>
      </c>
      <c r="C23" s="97" t="s">
        <v>741</v>
      </c>
      <c r="D23" s="97" t="s">
        <v>742</v>
      </c>
      <c r="E23" s="97" t="s">
        <v>743</v>
      </c>
      <c r="F23" s="97" t="s">
        <v>744</v>
      </c>
      <c r="G23" s="104" t="s">
        <v>745</v>
      </c>
      <c r="H23" s="104" t="s">
        <v>746</v>
      </c>
      <c r="I23" s="97" t="s">
        <v>747</v>
      </c>
      <c r="J23" s="104" t="s">
        <v>748</v>
      </c>
      <c r="K23" s="104" t="s">
        <v>749</v>
      </c>
      <c r="L23" s="97" t="s">
        <v>750</v>
      </c>
      <c r="M23" s="97" t="s">
        <v>751</v>
      </c>
      <c r="N23" s="97" t="s">
        <v>752</v>
      </c>
      <c r="O23" s="97" t="s">
        <v>10</v>
      </c>
      <c r="P23" s="97" t="s">
        <v>753</v>
      </c>
      <c r="Q23" s="97" t="s">
        <v>754</v>
      </c>
      <c r="R23" s="97" t="s">
        <v>755</v>
      </c>
      <c r="S23" s="97" t="s">
        <v>756</v>
      </c>
      <c r="T23" s="97" t="s">
        <v>757</v>
      </c>
      <c r="U23" s="97" t="s">
        <v>758</v>
      </c>
      <c r="V23" s="97" t="s">
        <v>759</v>
      </c>
      <c r="W23" s="97" t="s">
        <v>760</v>
      </c>
      <c r="X23" s="97" t="s">
        <v>761</v>
      </c>
      <c r="Y23" s="97" t="s">
        <v>762</v>
      </c>
      <c r="Z23" s="97" t="s">
        <v>763</v>
      </c>
      <c r="AA23" s="97" t="s">
        <v>764</v>
      </c>
      <c r="AB23" s="97" t="s">
        <v>765</v>
      </c>
      <c r="AC23" s="97" t="s">
        <v>766</v>
      </c>
      <c r="AD23" s="97" t="s">
        <v>767</v>
      </c>
      <c r="AE23" s="97" t="s">
        <v>768</v>
      </c>
      <c r="AF23" s="97" t="s">
        <v>769</v>
      </c>
    </row>
    <row r="24" spans="1:34">
      <c r="A24" s="100" t="s">
        <v>739</v>
      </c>
      <c r="B24" s="100" t="s">
        <v>770</v>
      </c>
      <c r="C24" s="100" t="s">
        <v>771</v>
      </c>
      <c r="D24" s="100"/>
      <c r="E24" s="100" t="s">
        <v>772</v>
      </c>
      <c r="F24" s="100"/>
      <c r="G24" s="105">
        <v>9985405</v>
      </c>
      <c r="H24" s="105">
        <v>1421118</v>
      </c>
      <c r="I24" s="100" t="s">
        <v>773</v>
      </c>
      <c r="J24" s="105">
        <v>1</v>
      </c>
      <c r="K24" s="105">
        <v>22</v>
      </c>
      <c r="L24" s="101">
        <v>55069.41</v>
      </c>
      <c r="M24" s="100" t="s">
        <v>774</v>
      </c>
      <c r="N24" s="106">
        <v>44543</v>
      </c>
      <c r="O24" s="106">
        <v>44571</v>
      </c>
      <c r="P24" s="106">
        <v>44571</v>
      </c>
      <c r="Q24" s="100" t="s">
        <v>775</v>
      </c>
      <c r="R24" s="100" t="s">
        <v>236</v>
      </c>
      <c r="S24" s="100" t="s">
        <v>776</v>
      </c>
      <c r="T24" s="100" t="s">
        <v>777</v>
      </c>
      <c r="U24" s="100" t="s">
        <v>778</v>
      </c>
      <c r="V24" s="100"/>
      <c r="W24" s="100"/>
      <c r="X24" s="100"/>
      <c r="Y24" s="100"/>
      <c r="Z24" s="100" t="s">
        <v>779</v>
      </c>
      <c r="AA24" s="100" t="s">
        <v>780</v>
      </c>
      <c r="AB24" s="100" t="s">
        <v>781</v>
      </c>
      <c r="AC24" s="100" t="s">
        <v>782</v>
      </c>
      <c r="AD24" s="100" t="s">
        <v>783</v>
      </c>
      <c r="AE24" s="100"/>
      <c r="AF24" s="100"/>
    </row>
    <row r="25" spans="1:34">
      <c r="A25" s="100" t="s">
        <v>739</v>
      </c>
      <c r="B25" s="100" t="s">
        <v>770</v>
      </c>
      <c r="C25" s="100" t="s">
        <v>771</v>
      </c>
      <c r="D25" s="100"/>
      <c r="E25" s="100" t="s">
        <v>772</v>
      </c>
      <c r="F25" s="100"/>
      <c r="G25" s="105">
        <v>9991466</v>
      </c>
      <c r="H25" s="105">
        <v>1422726</v>
      </c>
      <c r="I25" s="100" t="s">
        <v>773</v>
      </c>
      <c r="J25" s="105">
        <v>1</v>
      </c>
      <c r="K25" s="105">
        <v>22</v>
      </c>
      <c r="L25" s="101">
        <v>60514.75</v>
      </c>
      <c r="M25" s="100" t="s">
        <v>774</v>
      </c>
      <c r="N25" s="106">
        <v>44571</v>
      </c>
      <c r="O25" s="106">
        <v>44582</v>
      </c>
      <c r="P25" s="106">
        <v>44582</v>
      </c>
      <c r="Q25" s="100" t="s">
        <v>775</v>
      </c>
      <c r="R25" s="100" t="s">
        <v>236</v>
      </c>
      <c r="S25" s="100" t="s">
        <v>784</v>
      </c>
      <c r="T25" s="100" t="s">
        <v>777</v>
      </c>
      <c r="U25" s="100" t="s">
        <v>778</v>
      </c>
      <c r="V25" s="100"/>
      <c r="W25" s="100"/>
      <c r="X25" s="100"/>
      <c r="Y25" s="100"/>
      <c r="Z25" s="100" t="s">
        <v>779</v>
      </c>
      <c r="AA25" s="100" t="s">
        <v>780</v>
      </c>
      <c r="AB25" s="100" t="s">
        <v>781</v>
      </c>
      <c r="AC25" s="100" t="s">
        <v>782</v>
      </c>
      <c r="AD25" s="100" t="s">
        <v>783</v>
      </c>
      <c r="AE25" s="100"/>
      <c r="AF25" s="100"/>
    </row>
    <row r="26" spans="1:34">
      <c r="A26" s="100" t="s">
        <v>739</v>
      </c>
      <c r="B26" s="100" t="s">
        <v>785</v>
      </c>
      <c r="C26" s="100" t="s">
        <v>771</v>
      </c>
      <c r="D26" s="100"/>
      <c r="E26" s="100" t="s">
        <v>786</v>
      </c>
      <c r="F26" s="100" t="s">
        <v>787</v>
      </c>
      <c r="G26" s="105">
        <v>9981614</v>
      </c>
      <c r="H26" s="105">
        <v>1419404</v>
      </c>
      <c r="I26" s="100" t="s">
        <v>343</v>
      </c>
      <c r="J26" s="105">
        <v>1</v>
      </c>
      <c r="K26" s="105">
        <v>22</v>
      </c>
      <c r="L26" s="101">
        <v>-238000</v>
      </c>
      <c r="M26" s="100" t="s">
        <v>788</v>
      </c>
      <c r="N26" s="106">
        <v>44558</v>
      </c>
      <c r="O26" s="106">
        <v>44562</v>
      </c>
      <c r="P26" s="106">
        <v>44558</v>
      </c>
      <c r="Q26" s="100" t="s">
        <v>789</v>
      </c>
      <c r="R26" s="100" t="s">
        <v>790</v>
      </c>
      <c r="S26" s="100"/>
      <c r="T26" s="100">
        <v>0</v>
      </c>
      <c r="U26" s="100" t="s">
        <v>791</v>
      </c>
      <c r="V26" s="100"/>
      <c r="W26" s="100"/>
      <c r="X26" s="100"/>
      <c r="Y26" s="100"/>
      <c r="Z26" s="100" t="s">
        <v>779</v>
      </c>
      <c r="AA26" s="100" t="s">
        <v>780</v>
      </c>
      <c r="AB26" s="100" t="s">
        <v>792</v>
      </c>
      <c r="AC26" s="100" t="s">
        <v>793</v>
      </c>
      <c r="AD26" s="100" t="s">
        <v>794</v>
      </c>
      <c r="AE26" s="100"/>
      <c r="AF26" s="100"/>
    </row>
    <row r="27" spans="1:34">
      <c r="A27" s="100" t="s">
        <v>739</v>
      </c>
      <c r="B27" s="100" t="s">
        <v>795</v>
      </c>
      <c r="C27" s="100" t="s">
        <v>771</v>
      </c>
      <c r="D27" s="100"/>
      <c r="E27" s="100" t="s">
        <v>772</v>
      </c>
      <c r="F27" s="100"/>
      <c r="G27" s="105">
        <v>9986759</v>
      </c>
      <c r="H27" s="105">
        <v>1421400</v>
      </c>
      <c r="I27" s="100" t="s">
        <v>773</v>
      </c>
      <c r="J27" s="105">
        <v>1</v>
      </c>
      <c r="K27" s="105">
        <v>22</v>
      </c>
      <c r="L27" s="101">
        <v>30000</v>
      </c>
      <c r="M27" s="100" t="s">
        <v>796</v>
      </c>
      <c r="N27" s="106">
        <v>44543</v>
      </c>
      <c r="O27" s="106">
        <v>44573</v>
      </c>
      <c r="P27" s="106">
        <v>44573</v>
      </c>
      <c r="Q27" s="100" t="s">
        <v>797</v>
      </c>
      <c r="R27" s="100" t="s">
        <v>313</v>
      </c>
      <c r="S27" s="100" t="s">
        <v>798</v>
      </c>
      <c r="T27" s="100" t="s">
        <v>799</v>
      </c>
      <c r="U27" s="100" t="s">
        <v>800</v>
      </c>
      <c r="V27" s="100"/>
      <c r="W27" s="100"/>
      <c r="X27" s="100"/>
      <c r="Y27" s="100"/>
      <c r="Z27" s="100" t="s">
        <v>779</v>
      </c>
      <c r="AA27" s="100" t="s">
        <v>780</v>
      </c>
      <c r="AB27" s="100" t="s">
        <v>781</v>
      </c>
      <c r="AC27" s="100" t="s">
        <v>782</v>
      </c>
      <c r="AD27" s="100" t="s">
        <v>801</v>
      </c>
      <c r="AE27" s="100"/>
      <c r="AF27" s="100"/>
    </row>
    <row r="28" spans="1:34">
      <c r="A28" s="100" t="s">
        <v>739</v>
      </c>
      <c r="B28" s="100" t="s">
        <v>795</v>
      </c>
      <c r="C28" s="100" t="s">
        <v>771</v>
      </c>
      <c r="D28" s="100"/>
      <c r="E28" s="100" t="s">
        <v>802</v>
      </c>
      <c r="F28" s="100"/>
      <c r="G28" s="105">
        <v>9989571</v>
      </c>
      <c r="H28" s="105">
        <v>3926893</v>
      </c>
      <c r="I28" s="100" t="s">
        <v>803</v>
      </c>
      <c r="J28" s="105">
        <v>1</v>
      </c>
      <c r="K28" s="105">
        <v>22</v>
      </c>
      <c r="L28" s="101">
        <v>58000</v>
      </c>
      <c r="M28" s="100"/>
      <c r="N28" s="106">
        <v>44227</v>
      </c>
      <c r="O28" s="106">
        <v>44580</v>
      </c>
      <c r="P28" s="106">
        <v>44580</v>
      </c>
      <c r="Q28" s="100" t="s">
        <v>804</v>
      </c>
      <c r="R28" s="100" t="s">
        <v>467</v>
      </c>
      <c r="S28" s="100"/>
      <c r="T28" s="100" t="s">
        <v>805</v>
      </c>
      <c r="U28" s="100" t="s">
        <v>806</v>
      </c>
      <c r="V28" s="100"/>
      <c r="W28" s="100"/>
      <c r="X28" s="100"/>
      <c r="Y28" s="100"/>
      <c r="Z28" s="100" t="s">
        <v>779</v>
      </c>
      <c r="AA28" s="100" t="s">
        <v>780</v>
      </c>
      <c r="AB28" s="100" t="s">
        <v>782</v>
      </c>
      <c r="AC28" s="100" t="s">
        <v>782</v>
      </c>
      <c r="AD28" s="100" t="s">
        <v>801</v>
      </c>
      <c r="AE28" s="100"/>
      <c r="AF28" s="100"/>
    </row>
    <row r="29" spans="1:34">
      <c r="A29" s="100" t="s">
        <v>739</v>
      </c>
      <c r="B29" s="100" t="s">
        <v>795</v>
      </c>
      <c r="C29" s="100" t="s">
        <v>771</v>
      </c>
      <c r="D29" s="100"/>
      <c r="E29" s="100" t="s">
        <v>786</v>
      </c>
      <c r="F29" s="100"/>
      <c r="G29" s="105">
        <v>9991210</v>
      </c>
      <c r="H29" s="105">
        <v>18853478</v>
      </c>
      <c r="I29" s="100" t="s">
        <v>807</v>
      </c>
      <c r="J29" s="105">
        <v>1</v>
      </c>
      <c r="K29" s="105">
        <v>22</v>
      </c>
      <c r="L29" s="101">
        <v>-50000</v>
      </c>
      <c r="M29" s="100" t="s">
        <v>808</v>
      </c>
      <c r="N29" s="106">
        <v>44592</v>
      </c>
      <c r="O29" s="106">
        <v>44592</v>
      </c>
      <c r="P29" s="106">
        <v>44582</v>
      </c>
      <c r="Q29" s="100" t="s">
        <v>809</v>
      </c>
      <c r="R29" s="100" t="s">
        <v>809</v>
      </c>
      <c r="S29" s="100"/>
      <c r="T29" s="100">
        <v>0</v>
      </c>
      <c r="U29" s="100" t="s">
        <v>810</v>
      </c>
      <c r="V29" s="100"/>
      <c r="W29" s="100"/>
      <c r="X29" s="100" t="s">
        <v>811</v>
      </c>
      <c r="Y29" s="100"/>
      <c r="Z29" s="100" t="s">
        <v>779</v>
      </c>
      <c r="AA29" s="100" t="s">
        <v>780</v>
      </c>
      <c r="AB29" s="100" t="s">
        <v>812</v>
      </c>
      <c r="AC29" s="100" t="s">
        <v>782</v>
      </c>
      <c r="AD29" s="100" t="s">
        <v>801</v>
      </c>
      <c r="AE29" s="100"/>
      <c r="AF29" s="100"/>
    </row>
    <row r="30" spans="1:34">
      <c r="A30" s="100" t="s">
        <v>739</v>
      </c>
      <c r="B30" s="100" t="s">
        <v>813</v>
      </c>
      <c r="C30" s="100" t="s">
        <v>771</v>
      </c>
      <c r="D30" s="100"/>
      <c r="E30" s="100" t="s">
        <v>802</v>
      </c>
      <c r="F30" s="100"/>
      <c r="G30" s="105">
        <v>9990436</v>
      </c>
      <c r="H30" s="105">
        <v>3927196</v>
      </c>
      <c r="I30" s="100" t="s">
        <v>803</v>
      </c>
      <c r="J30" s="105">
        <v>1</v>
      </c>
      <c r="K30" s="105">
        <v>22</v>
      </c>
      <c r="L30" s="101">
        <v>45000</v>
      </c>
      <c r="M30" s="100"/>
      <c r="N30" s="106">
        <v>44592</v>
      </c>
      <c r="O30" s="106">
        <v>44581</v>
      </c>
      <c r="P30" s="106">
        <v>44581</v>
      </c>
      <c r="Q30" s="100" t="s">
        <v>804</v>
      </c>
      <c r="R30" s="100" t="s">
        <v>814</v>
      </c>
      <c r="S30" s="100"/>
      <c r="T30" s="100" t="s">
        <v>815</v>
      </c>
      <c r="U30" s="100" t="s">
        <v>816</v>
      </c>
      <c r="V30" s="100"/>
      <c r="W30" s="100"/>
      <c r="X30" s="100"/>
      <c r="Y30" s="100"/>
      <c r="Z30" s="100" t="s">
        <v>779</v>
      </c>
      <c r="AA30" s="100" t="s">
        <v>780</v>
      </c>
      <c r="AB30" s="100" t="s">
        <v>782</v>
      </c>
      <c r="AC30" s="100" t="s">
        <v>782</v>
      </c>
      <c r="AD30" s="100" t="s">
        <v>817</v>
      </c>
      <c r="AE30" s="100"/>
      <c r="AF30" s="100"/>
    </row>
    <row r="31" spans="1:34">
      <c r="A31" s="100" t="s">
        <v>736</v>
      </c>
      <c r="B31" s="100" t="s">
        <v>818</v>
      </c>
      <c r="C31" s="100" t="s">
        <v>771</v>
      </c>
      <c r="D31" s="100"/>
      <c r="E31" s="100" t="s">
        <v>772</v>
      </c>
      <c r="F31" s="100"/>
      <c r="G31" s="105">
        <v>9986848</v>
      </c>
      <c r="H31" s="105">
        <v>1421488</v>
      </c>
      <c r="I31" s="100" t="s">
        <v>773</v>
      </c>
      <c r="J31" s="105">
        <v>1</v>
      </c>
      <c r="K31" s="105">
        <v>22</v>
      </c>
      <c r="L31" s="101">
        <v>243683.33</v>
      </c>
      <c r="M31" s="100"/>
      <c r="N31" s="106">
        <v>44567</v>
      </c>
      <c r="O31" s="106">
        <v>44573</v>
      </c>
      <c r="P31" s="106">
        <v>44573</v>
      </c>
      <c r="Q31" s="100" t="s">
        <v>819</v>
      </c>
      <c r="R31" s="100" t="s">
        <v>32</v>
      </c>
      <c r="S31" s="100" t="s">
        <v>820</v>
      </c>
      <c r="T31" s="100" t="s">
        <v>821</v>
      </c>
      <c r="U31" s="100" t="s">
        <v>822</v>
      </c>
      <c r="V31" s="100"/>
      <c r="W31" s="100"/>
      <c r="X31" s="100"/>
      <c r="Y31" s="100"/>
      <c r="Z31" s="100" t="s">
        <v>779</v>
      </c>
      <c r="AA31" s="100" t="s">
        <v>780</v>
      </c>
      <c r="AB31" s="100" t="s">
        <v>781</v>
      </c>
      <c r="AC31" s="100" t="s">
        <v>782</v>
      </c>
      <c r="AD31" s="100" t="s">
        <v>823</v>
      </c>
      <c r="AE31" s="100"/>
      <c r="AF31" s="100"/>
    </row>
    <row r="32" spans="1:34">
      <c r="A32" s="100" t="s">
        <v>736</v>
      </c>
      <c r="B32" s="100" t="s">
        <v>818</v>
      </c>
      <c r="C32" s="100" t="s">
        <v>771</v>
      </c>
      <c r="D32" s="100"/>
      <c r="E32" s="100" t="s">
        <v>786</v>
      </c>
      <c r="F32" s="100"/>
      <c r="G32" s="105">
        <v>9988368</v>
      </c>
      <c r="H32" s="105">
        <v>18852918</v>
      </c>
      <c r="I32" s="100" t="s">
        <v>807</v>
      </c>
      <c r="J32" s="105">
        <v>1</v>
      </c>
      <c r="K32" s="105">
        <v>22</v>
      </c>
      <c r="L32" s="101">
        <v>-20000</v>
      </c>
      <c r="M32" s="100" t="s">
        <v>824</v>
      </c>
      <c r="N32" s="106">
        <v>44575</v>
      </c>
      <c r="O32" s="106">
        <v>44575</v>
      </c>
      <c r="P32" s="106">
        <v>44575</v>
      </c>
      <c r="Q32" s="100" t="s">
        <v>825</v>
      </c>
      <c r="R32" s="100" t="s">
        <v>825</v>
      </c>
      <c r="S32" s="100"/>
      <c r="T32" s="100">
        <v>0</v>
      </c>
      <c r="U32" s="100" t="s">
        <v>826</v>
      </c>
      <c r="V32" s="100"/>
      <c r="W32" s="100"/>
      <c r="X32" s="100" t="s">
        <v>827</v>
      </c>
      <c r="Y32" s="100"/>
      <c r="Z32" s="100" t="s">
        <v>779</v>
      </c>
      <c r="AA32" s="100" t="s">
        <v>780</v>
      </c>
      <c r="AB32" s="100" t="s">
        <v>828</v>
      </c>
      <c r="AC32" s="100" t="s">
        <v>782</v>
      </c>
      <c r="AD32" s="100" t="s">
        <v>823</v>
      </c>
      <c r="AE32" s="100"/>
      <c r="AF32" s="100"/>
    </row>
    <row r="33" spans="1:32">
      <c r="A33" s="100" t="s">
        <v>736</v>
      </c>
      <c r="B33" s="100" t="s">
        <v>829</v>
      </c>
      <c r="C33" s="100" t="s">
        <v>771</v>
      </c>
      <c r="D33" s="100"/>
      <c r="E33" s="100" t="s">
        <v>772</v>
      </c>
      <c r="F33" s="100"/>
      <c r="G33" s="105">
        <v>9982569</v>
      </c>
      <c r="H33" s="105">
        <v>1419962</v>
      </c>
      <c r="I33" s="100" t="s">
        <v>773</v>
      </c>
      <c r="J33" s="105">
        <v>1</v>
      </c>
      <c r="K33" s="105">
        <v>22</v>
      </c>
      <c r="L33" s="101">
        <v>439509.95</v>
      </c>
      <c r="M33" s="100" t="s">
        <v>830</v>
      </c>
      <c r="N33" s="106">
        <v>44489</v>
      </c>
      <c r="O33" s="106">
        <v>44564</v>
      </c>
      <c r="P33" s="106">
        <v>44564</v>
      </c>
      <c r="Q33" s="100" t="s">
        <v>831</v>
      </c>
      <c r="R33" s="100" t="s">
        <v>832</v>
      </c>
      <c r="S33" s="100" t="s">
        <v>833</v>
      </c>
      <c r="T33" s="100" t="s">
        <v>834</v>
      </c>
      <c r="U33" s="100" t="s">
        <v>835</v>
      </c>
      <c r="V33" s="100"/>
      <c r="W33" s="100"/>
      <c r="X33" s="100"/>
      <c r="Y33" s="100"/>
      <c r="Z33" s="100" t="s">
        <v>779</v>
      </c>
      <c r="AA33" s="100" t="s">
        <v>780</v>
      </c>
      <c r="AB33" s="100" t="s">
        <v>781</v>
      </c>
      <c r="AC33" s="100" t="s">
        <v>782</v>
      </c>
      <c r="AD33" s="100" t="s">
        <v>836</v>
      </c>
      <c r="AE33" s="100"/>
      <c r="AF33" s="100"/>
    </row>
    <row r="34" spans="1:32">
      <c r="A34" s="100" t="s">
        <v>736</v>
      </c>
      <c r="B34" s="100" t="s">
        <v>829</v>
      </c>
      <c r="C34" s="100" t="s">
        <v>771</v>
      </c>
      <c r="D34" s="100"/>
      <c r="E34" s="100" t="s">
        <v>772</v>
      </c>
      <c r="F34" s="100"/>
      <c r="G34" s="105">
        <v>9992755</v>
      </c>
      <c r="H34" s="105">
        <v>1423171</v>
      </c>
      <c r="I34" s="100" t="s">
        <v>773</v>
      </c>
      <c r="J34" s="105">
        <v>1</v>
      </c>
      <c r="K34" s="105">
        <v>22</v>
      </c>
      <c r="L34" s="101">
        <v>25408.959999999999</v>
      </c>
      <c r="M34" s="100" t="s">
        <v>837</v>
      </c>
      <c r="N34" s="106">
        <v>44581</v>
      </c>
      <c r="O34" s="106">
        <v>44587</v>
      </c>
      <c r="P34" s="106">
        <v>44587</v>
      </c>
      <c r="Q34" s="100" t="s">
        <v>838</v>
      </c>
      <c r="R34" s="100" t="s">
        <v>839</v>
      </c>
      <c r="S34" s="100" t="s">
        <v>840</v>
      </c>
      <c r="T34" s="100" t="s">
        <v>841</v>
      </c>
      <c r="U34" s="100" t="s">
        <v>842</v>
      </c>
      <c r="V34" s="100"/>
      <c r="W34" s="100"/>
      <c r="X34" s="100"/>
      <c r="Y34" s="100"/>
      <c r="Z34" s="100" t="s">
        <v>779</v>
      </c>
      <c r="AA34" s="100" t="s">
        <v>780</v>
      </c>
      <c r="AB34" s="100" t="s">
        <v>781</v>
      </c>
      <c r="AC34" s="100" t="s">
        <v>782</v>
      </c>
      <c r="AD34" s="100" t="s">
        <v>836</v>
      </c>
      <c r="AE34" s="100"/>
      <c r="AF34" s="100"/>
    </row>
    <row r="35" spans="1:32">
      <c r="A35" s="100" t="s">
        <v>737</v>
      </c>
      <c r="B35" s="100" t="s">
        <v>843</v>
      </c>
      <c r="C35" s="100" t="s">
        <v>771</v>
      </c>
      <c r="D35" s="100"/>
      <c r="E35" s="100" t="s">
        <v>786</v>
      </c>
      <c r="F35" s="100"/>
      <c r="G35" s="105">
        <v>9983162</v>
      </c>
      <c r="H35" s="105">
        <v>18850693</v>
      </c>
      <c r="I35" s="100" t="s">
        <v>807</v>
      </c>
      <c r="J35" s="105">
        <v>1</v>
      </c>
      <c r="K35" s="105">
        <v>22</v>
      </c>
      <c r="L35" s="101">
        <v>-45000</v>
      </c>
      <c r="M35" s="100" t="s">
        <v>844</v>
      </c>
      <c r="N35" s="106">
        <v>44562</v>
      </c>
      <c r="O35" s="106">
        <v>44562</v>
      </c>
      <c r="P35" s="106">
        <v>44564</v>
      </c>
      <c r="Q35" s="100" t="s">
        <v>845</v>
      </c>
      <c r="R35" s="100" t="s">
        <v>846</v>
      </c>
      <c r="S35" s="100"/>
      <c r="T35" s="100">
        <v>0</v>
      </c>
      <c r="U35" s="100" t="s">
        <v>847</v>
      </c>
      <c r="V35" s="100"/>
      <c r="W35" s="100"/>
      <c r="X35" s="100" t="s">
        <v>827</v>
      </c>
      <c r="Y35" s="100"/>
      <c r="Z35" s="100" t="s">
        <v>779</v>
      </c>
      <c r="AA35" s="100" t="s">
        <v>780</v>
      </c>
      <c r="AB35" s="100" t="s">
        <v>848</v>
      </c>
      <c r="AC35" s="100" t="s">
        <v>782</v>
      </c>
      <c r="AD35" s="100" t="s">
        <v>849</v>
      </c>
      <c r="AE35" s="100"/>
      <c r="AF35" s="100"/>
    </row>
    <row r="36" spans="1:32">
      <c r="A36" s="100" t="s">
        <v>737</v>
      </c>
      <c r="B36" s="100" t="s">
        <v>843</v>
      </c>
      <c r="C36" s="100" t="s">
        <v>771</v>
      </c>
      <c r="D36" s="100"/>
      <c r="E36" s="100" t="s">
        <v>786</v>
      </c>
      <c r="F36" s="100"/>
      <c r="G36" s="105">
        <v>9983162</v>
      </c>
      <c r="H36" s="105">
        <v>18850693</v>
      </c>
      <c r="I36" s="100" t="s">
        <v>807</v>
      </c>
      <c r="J36" s="105">
        <v>1</v>
      </c>
      <c r="K36" s="105">
        <v>22</v>
      </c>
      <c r="L36" s="101">
        <v>-125100</v>
      </c>
      <c r="M36" s="100" t="s">
        <v>850</v>
      </c>
      <c r="N36" s="106">
        <v>44562</v>
      </c>
      <c r="O36" s="106">
        <v>44562</v>
      </c>
      <c r="P36" s="106">
        <v>44564</v>
      </c>
      <c r="Q36" s="100" t="s">
        <v>851</v>
      </c>
      <c r="R36" s="100" t="s">
        <v>846</v>
      </c>
      <c r="S36" s="100"/>
      <c r="T36" s="100">
        <v>0</v>
      </c>
      <c r="U36" s="100" t="s">
        <v>852</v>
      </c>
      <c r="V36" s="100"/>
      <c r="W36" s="100"/>
      <c r="X36" s="100" t="s">
        <v>827</v>
      </c>
      <c r="Y36" s="100"/>
      <c r="Z36" s="100" t="s">
        <v>779</v>
      </c>
      <c r="AA36" s="100" t="s">
        <v>780</v>
      </c>
      <c r="AB36" s="100" t="s">
        <v>848</v>
      </c>
      <c r="AC36" s="100" t="s">
        <v>782</v>
      </c>
      <c r="AD36" s="100" t="s">
        <v>849</v>
      </c>
      <c r="AE36" s="100"/>
      <c r="AF36" s="100"/>
    </row>
    <row r="37" spans="1:32">
      <c r="A37" s="100" t="s">
        <v>737</v>
      </c>
      <c r="B37" s="100" t="s">
        <v>843</v>
      </c>
      <c r="C37" s="100" t="s">
        <v>771</v>
      </c>
      <c r="D37" s="100"/>
      <c r="E37" s="100" t="s">
        <v>772</v>
      </c>
      <c r="F37" s="100"/>
      <c r="G37" s="105">
        <v>9985400</v>
      </c>
      <c r="H37" s="105">
        <v>1421113</v>
      </c>
      <c r="I37" s="100" t="s">
        <v>773</v>
      </c>
      <c r="J37" s="105">
        <v>1</v>
      </c>
      <c r="K37" s="105">
        <v>22</v>
      </c>
      <c r="L37" s="101">
        <v>300000</v>
      </c>
      <c r="M37" s="100" t="s">
        <v>853</v>
      </c>
      <c r="N37" s="106">
        <v>44496</v>
      </c>
      <c r="O37" s="106">
        <v>44571</v>
      </c>
      <c r="P37" s="106">
        <v>44571</v>
      </c>
      <c r="Q37" s="100" t="s">
        <v>854</v>
      </c>
      <c r="R37" s="100" t="s">
        <v>855</v>
      </c>
      <c r="S37" s="100" t="s">
        <v>856</v>
      </c>
      <c r="T37" s="100" t="s">
        <v>857</v>
      </c>
      <c r="U37" s="100" t="s">
        <v>858</v>
      </c>
      <c r="V37" s="100"/>
      <c r="W37" s="100"/>
      <c r="X37" s="100"/>
      <c r="Y37" s="100"/>
      <c r="Z37" s="100" t="s">
        <v>779</v>
      </c>
      <c r="AA37" s="100" t="s">
        <v>780</v>
      </c>
      <c r="AB37" s="100" t="s">
        <v>781</v>
      </c>
      <c r="AC37" s="100" t="s">
        <v>782</v>
      </c>
      <c r="AD37" s="100" t="s">
        <v>849</v>
      </c>
      <c r="AE37" s="100"/>
      <c r="AF37" s="100"/>
    </row>
    <row r="38" spans="1:32">
      <c r="A38" s="100" t="s">
        <v>737</v>
      </c>
      <c r="B38" s="100" t="s">
        <v>843</v>
      </c>
      <c r="C38" s="100" t="s">
        <v>771</v>
      </c>
      <c r="D38" s="100"/>
      <c r="E38" s="100" t="s">
        <v>772</v>
      </c>
      <c r="F38" s="100"/>
      <c r="G38" s="105">
        <v>9985402</v>
      </c>
      <c r="H38" s="105">
        <v>1421115</v>
      </c>
      <c r="I38" s="100" t="s">
        <v>773</v>
      </c>
      <c r="J38" s="105">
        <v>1</v>
      </c>
      <c r="K38" s="105">
        <v>22</v>
      </c>
      <c r="L38" s="101">
        <v>500000</v>
      </c>
      <c r="M38" s="100" t="s">
        <v>844</v>
      </c>
      <c r="N38" s="106">
        <v>44537</v>
      </c>
      <c r="O38" s="106">
        <v>44571</v>
      </c>
      <c r="P38" s="106">
        <v>44571</v>
      </c>
      <c r="Q38" s="100" t="s">
        <v>859</v>
      </c>
      <c r="R38" s="100" t="s">
        <v>860</v>
      </c>
      <c r="S38" s="100" t="s">
        <v>861</v>
      </c>
      <c r="T38" s="100" t="s">
        <v>862</v>
      </c>
      <c r="U38" s="100" t="s">
        <v>847</v>
      </c>
      <c r="V38" s="100"/>
      <c r="W38" s="100"/>
      <c r="X38" s="100"/>
      <c r="Y38" s="100"/>
      <c r="Z38" s="100" t="s">
        <v>779</v>
      </c>
      <c r="AA38" s="100" t="s">
        <v>780</v>
      </c>
      <c r="AB38" s="100" t="s">
        <v>781</v>
      </c>
      <c r="AC38" s="100" t="s">
        <v>782</v>
      </c>
      <c r="AD38" s="100" t="s">
        <v>849</v>
      </c>
      <c r="AE38" s="100"/>
      <c r="AF38" s="100"/>
    </row>
    <row r="39" spans="1:32">
      <c r="A39" s="100" t="s">
        <v>737</v>
      </c>
      <c r="B39" s="100" t="s">
        <v>843</v>
      </c>
      <c r="C39" s="100" t="s">
        <v>771</v>
      </c>
      <c r="D39" s="100"/>
      <c r="E39" s="100" t="s">
        <v>772</v>
      </c>
      <c r="F39" s="100"/>
      <c r="G39" s="105">
        <v>9985404</v>
      </c>
      <c r="H39" s="105">
        <v>1421117</v>
      </c>
      <c r="I39" s="100" t="s">
        <v>773</v>
      </c>
      <c r="J39" s="105">
        <v>1</v>
      </c>
      <c r="K39" s="105">
        <v>22</v>
      </c>
      <c r="L39" s="101">
        <v>65000</v>
      </c>
      <c r="M39" s="100" t="s">
        <v>863</v>
      </c>
      <c r="N39" s="106">
        <v>44538</v>
      </c>
      <c r="O39" s="106">
        <v>44571</v>
      </c>
      <c r="P39" s="106">
        <v>44571</v>
      </c>
      <c r="Q39" s="100" t="s">
        <v>864</v>
      </c>
      <c r="R39" s="100" t="s">
        <v>99</v>
      </c>
      <c r="S39" s="100" t="s">
        <v>865</v>
      </c>
      <c r="T39" s="100" t="s">
        <v>866</v>
      </c>
      <c r="U39" s="100" t="s">
        <v>867</v>
      </c>
      <c r="V39" s="100"/>
      <c r="W39" s="100"/>
      <c r="X39" s="100"/>
      <c r="Y39" s="100"/>
      <c r="Z39" s="100" t="s">
        <v>779</v>
      </c>
      <c r="AA39" s="100" t="s">
        <v>780</v>
      </c>
      <c r="AB39" s="100" t="s">
        <v>781</v>
      </c>
      <c r="AC39" s="100" t="s">
        <v>782</v>
      </c>
      <c r="AD39" s="100" t="s">
        <v>849</v>
      </c>
      <c r="AE39" s="100"/>
      <c r="AF39" s="100"/>
    </row>
    <row r="40" spans="1:32">
      <c r="A40" s="100" t="s">
        <v>737</v>
      </c>
      <c r="B40" s="100" t="s">
        <v>843</v>
      </c>
      <c r="C40" s="100" t="s">
        <v>771</v>
      </c>
      <c r="D40" s="100"/>
      <c r="E40" s="100" t="s">
        <v>772</v>
      </c>
      <c r="F40" s="100"/>
      <c r="G40" s="105">
        <v>9988555</v>
      </c>
      <c r="H40" s="105">
        <v>1421990</v>
      </c>
      <c r="I40" s="100" t="s">
        <v>773</v>
      </c>
      <c r="J40" s="105">
        <v>1</v>
      </c>
      <c r="K40" s="105">
        <v>22</v>
      </c>
      <c r="L40" s="101">
        <v>280000</v>
      </c>
      <c r="M40" s="100" t="s">
        <v>868</v>
      </c>
      <c r="N40" s="106">
        <v>44571</v>
      </c>
      <c r="O40" s="106">
        <v>44575</v>
      </c>
      <c r="P40" s="106">
        <v>44575</v>
      </c>
      <c r="Q40" s="100" t="s">
        <v>869</v>
      </c>
      <c r="R40" s="100" t="s">
        <v>113</v>
      </c>
      <c r="S40" s="100" t="s">
        <v>870</v>
      </c>
      <c r="T40" s="100" t="s">
        <v>871</v>
      </c>
      <c r="U40" s="100" t="s">
        <v>872</v>
      </c>
      <c r="V40" s="100"/>
      <c r="W40" s="100"/>
      <c r="X40" s="100"/>
      <c r="Y40" s="100"/>
      <c r="Z40" s="100" t="s">
        <v>779</v>
      </c>
      <c r="AA40" s="100" t="s">
        <v>780</v>
      </c>
      <c r="AB40" s="100" t="s">
        <v>781</v>
      </c>
      <c r="AC40" s="100" t="s">
        <v>782</v>
      </c>
      <c r="AD40" s="100" t="s">
        <v>849</v>
      </c>
      <c r="AE40" s="100"/>
      <c r="AF40" s="100"/>
    </row>
    <row r="41" spans="1:32">
      <c r="A41" s="100" t="s">
        <v>737</v>
      </c>
      <c r="B41" s="100" t="s">
        <v>843</v>
      </c>
      <c r="C41" s="100" t="s">
        <v>771</v>
      </c>
      <c r="D41" s="100"/>
      <c r="E41" s="100" t="s">
        <v>772</v>
      </c>
      <c r="F41" s="100"/>
      <c r="G41" s="105">
        <v>9991585</v>
      </c>
      <c r="H41" s="105">
        <v>1422843</v>
      </c>
      <c r="I41" s="100" t="s">
        <v>773</v>
      </c>
      <c r="J41" s="105">
        <v>1</v>
      </c>
      <c r="K41" s="105">
        <v>22</v>
      </c>
      <c r="L41" s="101">
        <v>5000</v>
      </c>
      <c r="M41" s="100" t="s">
        <v>873</v>
      </c>
      <c r="N41" s="106">
        <v>44533</v>
      </c>
      <c r="O41" s="106">
        <v>44582</v>
      </c>
      <c r="P41" s="106">
        <v>44582</v>
      </c>
      <c r="Q41" s="100" t="s">
        <v>874</v>
      </c>
      <c r="R41" s="100" t="s">
        <v>103</v>
      </c>
      <c r="S41" s="100" t="s">
        <v>875</v>
      </c>
      <c r="T41" s="100" t="s">
        <v>876</v>
      </c>
      <c r="U41" s="100" t="s">
        <v>877</v>
      </c>
      <c r="V41" s="100"/>
      <c r="W41" s="100"/>
      <c r="X41" s="100"/>
      <c r="Y41" s="100"/>
      <c r="Z41" s="100" t="s">
        <v>779</v>
      </c>
      <c r="AA41" s="100" t="s">
        <v>780</v>
      </c>
      <c r="AB41" s="100" t="s">
        <v>781</v>
      </c>
      <c r="AC41" s="100" t="s">
        <v>782</v>
      </c>
      <c r="AD41" s="100" t="s">
        <v>849</v>
      </c>
      <c r="AE41" s="100"/>
      <c r="AF41" s="100"/>
    </row>
    <row r="42" spans="1:32">
      <c r="A42" s="100" t="s">
        <v>737</v>
      </c>
      <c r="B42" s="100" t="s">
        <v>843</v>
      </c>
      <c r="C42" s="100" t="s">
        <v>771</v>
      </c>
      <c r="D42" s="100"/>
      <c r="E42" s="100" t="s">
        <v>772</v>
      </c>
      <c r="F42" s="100"/>
      <c r="G42" s="105">
        <v>9991612</v>
      </c>
      <c r="H42" s="105">
        <v>1422870</v>
      </c>
      <c r="I42" s="100" t="s">
        <v>773</v>
      </c>
      <c r="J42" s="105">
        <v>1</v>
      </c>
      <c r="K42" s="105">
        <v>22</v>
      </c>
      <c r="L42" s="101">
        <v>60000</v>
      </c>
      <c r="M42" s="100" t="s">
        <v>878</v>
      </c>
      <c r="N42" s="106">
        <v>44581</v>
      </c>
      <c r="O42" s="106">
        <v>44582</v>
      </c>
      <c r="P42" s="106">
        <v>44582</v>
      </c>
      <c r="Q42" s="100" t="s">
        <v>879</v>
      </c>
      <c r="R42" s="100" t="s">
        <v>880</v>
      </c>
      <c r="S42" s="100" t="s">
        <v>881</v>
      </c>
      <c r="T42" s="100" t="s">
        <v>882</v>
      </c>
      <c r="U42" s="100" t="s">
        <v>883</v>
      </c>
      <c r="V42" s="100"/>
      <c r="W42" s="100"/>
      <c r="X42" s="100"/>
      <c r="Y42" s="100"/>
      <c r="Z42" s="100" t="s">
        <v>779</v>
      </c>
      <c r="AA42" s="100" t="s">
        <v>780</v>
      </c>
      <c r="AB42" s="100" t="s">
        <v>781</v>
      </c>
      <c r="AC42" s="100" t="s">
        <v>782</v>
      </c>
      <c r="AD42" s="100" t="s">
        <v>849</v>
      </c>
      <c r="AE42" s="100"/>
      <c r="AF42" s="100"/>
    </row>
    <row r="43" spans="1:32">
      <c r="A43" s="100" t="s">
        <v>737</v>
      </c>
      <c r="B43" s="100" t="s">
        <v>843</v>
      </c>
      <c r="C43" s="100" t="s">
        <v>771</v>
      </c>
      <c r="D43" s="100"/>
      <c r="E43" s="100" t="s">
        <v>786</v>
      </c>
      <c r="F43" s="100"/>
      <c r="G43" s="105">
        <v>9992621</v>
      </c>
      <c r="H43" s="105">
        <v>18855817</v>
      </c>
      <c r="I43" s="100" t="s">
        <v>807</v>
      </c>
      <c r="J43" s="105">
        <v>1</v>
      </c>
      <c r="K43" s="105">
        <v>22</v>
      </c>
      <c r="L43" s="101">
        <v>-115000</v>
      </c>
      <c r="M43" s="100" t="s">
        <v>884</v>
      </c>
      <c r="N43" s="106">
        <v>44592</v>
      </c>
      <c r="O43" s="106">
        <v>44592</v>
      </c>
      <c r="P43" s="106">
        <v>44587</v>
      </c>
      <c r="Q43" s="100" t="s">
        <v>885</v>
      </c>
      <c r="R43" s="100" t="s">
        <v>886</v>
      </c>
      <c r="S43" s="100"/>
      <c r="T43" s="100">
        <v>0</v>
      </c>
      <c r="U43" s="100" t="s">
        <v>887</v>
      </c>
      <c r="V43" s="100"/>
      <c r="W43" s="100"/>
      <c r="X43" s="100" t="s">
        <v>827</v>
      </c>
      <c r="Y43" s="100"/>
      <c r="Z43" s="100" t="s">
        <v>779</v>
      </c>
      <c r="AA43" s="100" t="s">
        <v>780</v>
      </c>
      <c r="AB43" s="100" t="s">
        <v>848</v>
      </c>
      <c r="AC43" s="100" t="s">
        <v>782</v>
      </c>
      <c r="AD43" s="100" t="s">
        <v>849</v>
      </c>
      <c r="AE43" s="100"/>
      <c r="AF43" s="100"/>
    </row>
    <row r="44" spans="1:32">
      <c r="A44" s="100" t="s">
        <v>737</v>
      </c>
      <c r="B44" s="100" t="s">
        <v>888</v>
      </c>
      <c r="C44" s="100" t="s">
        <v>771</v>
      </c>
      <c r="D44" s="100"/>
      <c r="E44" s="100" t="s">
        <v>772</v>
      </c>
      <c r="F44" s="100"/>
      <c r="G44" s="105">
        <v>9988540</v>
      </c>
      <c r="H44" s="105">
        <v>1421976</v>
      </c>
      <c r="I44" s="100" t="s">
        <v>773</v>
      </c>
      <c r="J44" s="105">
        <v>1</v>
      </c>
      <c r="K44" s="105">
        <v>22</v>
      </c>
      <c r="L44" s="101">
        <v>112500</v>
      </c>
      <c r="M44" s="100" t="s">
        <v>889</v>
      </c>
      <c r="N44" s="106">
        <v>44538</v>
      </c>
      <c r="O44" s="106">
        <v>44575</v>
      </c>
      <c r="P44" s="106">
        <v>44575</v>
      </c>
      <c r="Q44" s="100" t="s">
        <v>890</v>
      </c>
      <c r="R44" s="100" t="s">
        <v>891</v>
      </c>
      <c r="S44" s="100" t="s">
        <v>892</v>
      </c>
      <c r="T44" s="100" t="s">
        <v>893</v>
      </c>
      <c r="U44" s="100" t="s">
        <v>894</v>
      </c>
      <c r="V44" s="100"/>
      <c r="W44" s="100"/>
      <c r="X44" s="100"/>
      <c r="Y44" s="100"/>
      <c r="Z44" s="100" t="s">
        <v>779</v>
      </c>
      <c r="AA44" s="100" t="s">
        <v>780</v>
      </c>
      <c r="AB44" s="100" t="s">
        <v>781</v>
      </c>
      <c r="AC44" s="100" t="s">
        <v>782</v>
      </c>
      <c r="AD44" s="100" t="s">
        <v>895</v>
      </c>
      <c r="AE44" s="100"/>
      <c r="AF44" s="100"/>
    </row>
    <row r="45" spans="1:32">
      <c r="A45" s="100" t="s">
        <v>737</v>
      </c>
      <c r="B45" s="100" t="s">
        <v>888</v>
      </c>
      <c r="C45" s="100" t="s">
        <v>771</v>
      </c>
      <c r="D45" s="100"/>
      <c r="E45" s="100" t="s">
        <v>772</v>
      </c>
      <c r="F45" s="100"/>
      <c r="G45" s="105">
        <v>9988549</v>
      </c>
      <c r="H45" s="105">
        <v>1421985</v>
      </c>
      <c r="I45" s="100" t="s">
        <v>773</v>
      </c>
      <c r="J45" s="105">
        <v>1</v>
      </c>
      <c r="K45" s="105">
        <v>22</v>
      </c>
      <c r="L45" s="101">
        <v>101250</v>
      </c>
      <c r="M45" s="100" t="s">
        <v>896</v>
      </c>
      <c r="N45" s="106">
        <v>44568</v>
      </c>
      <c r="O45" s="106">
        <v>44575</v>
      </c>
      <c r="P45" s="106">
        <v>44575</v>
      </c>
      <c r="Q45" s="100" t="s">
        <v>897</v>
      </c>
      <c r="R45" s="100" t="s">
        <v>183</v>
      </c>
      <c r="S45" s="100" t="s">
        <v>898</v>
      </c>
      <c r="T45" s="100" t="s">
        <v>899</v>
      </c>
      <c r="U45" s="100" t="s">
        <v>900</v>
      </c>
      <c r="V45" s="100"/>
      <c r="W45" s="100"/>
      <c r="X45" s="100"/>
      <c r="Y45" s="100"/>
      <c r="Z45" s="100" t="s">
        <v>779</v>
      </c>
      <c r="AA45" s="100" t="s">
        <v>780</v>
      </c>
      <c r="AB45" s="100" t="s">
        <v>781</v>
      </c>
      <c r="AC45" s="100" t="s">
        <v>782</v>
      </c>
      <c r="AD45" s="100" t="s">
        <v>895</v>
      </c>
      <c r="AE45" s="100"/>
      <c r="AF45" s="100"/>
    </row>
    <row r="46" spans="1:32">
      <c r="A46" s="100" t="s">
        <v>737</v>
      </c>
      <c r="B46" s="100" t="s">
        <v>901</v>
      </c>
      <c r="C46" s="100" t="s">
        <v>771</v>
      </c>
      <c r="D46" s="100"/>
      <c r="E46" s="100" t="s">
        <v>772</v>
      </c>
      <c r="F46" s="100"/>
      <c r="G46" s="105">
        <v>9991440</v>
      </c>
      <c r="H46" s="105">
        <v>1422700</v>
      </c>
      <c r="I46" s="100" t="s">
        <v>773</v>
      </c>
      <c r="J46" s="105">
        <v>1</v>
      </c>
      <c r="K46" s="105">
        <v>22</v>
      </c>
      <c r="L46" s="101">
        <v>107440</v>
      </c>
      <c r="M46" s="100" t="s">
        <v>902</v>
      </c>
      <c r="N46" s="106">
        <v>44575</v>
      </c>
      <c r="O46" s="106">
        <v>44582</v>
      </c>
      <c r="P46" s="106">
        <v>44582</v>
      </c>
      <c r="Q46" s="100" t="s">
        <v>903</v>
      </c>
      <c r="R46" s="100" t="s">
        <v>201</v>
      </c>
      <c r="S46" s="100" t="s">
        <v>904</v>
      </c>
      <c r="T46" s="100" t="s">
        <v>905</v>
      </c>
      <c r="U46" s="100" t="s">
        <v>906</v>
      </c>
      <c r="V46" s="100"/>
      <c r="W46" s="100"/>
      <c r="X46" s="100"/>
      <c r="Y46" s="100"/>
      <c r="Z46" s="100" t="s">
        <v>779</v>
      </c>
      <c r="AA46" s="100" t="s">
        <v>780</v>
      </c>
      <c r="AB46" s="100" t="s">
        <v>781</v>
      </c>
      <c r="AC46" s="100" t="s">
        <v>782</v>
      </c>
      <c r="AD46" s="100" t="s">
        <v>907</v>
      </c>
      <c r="AE46" s="100"/>
      <c r="AF46" s="100"/>
    </row>
    <row r="47" spans="1:32">
      <c r="A47" s="100" t="s">
        <v>737</v>
      </c>
      <c r="B47" s="100" t="s">
        <v>908</v>
      </c>
      <c r="C47" s="100" t="s">
        <v>771</v>
      </c>
      <c r="D47" s="100"/>
      <c r="E47" s="100" t="s">
        <v>786</v>
      </c>
      <c r="F47" s="100"/>
      <c r="G47" s="105">
        <v>9981332</v>
      </c>
      <c r="H47" s="105">
        <v>18850506</v>
      </c>
      <c r="I47" s="100" t="s">
        <v>807</v>
      </c>
      <c r="J47" s="105">
        <v>1</v>
      </c>
      <c r="K47" s="105">
        <v>22</v>
      </c>
      <c r="L47" s="101">
        <v>-80000</v>
      </c>
      <c r="M47" s="100" t="s">
        <v>909</v>
      </c>
      <c r="N47" s="106">
        <v>44592</v>
      </c>
      <c r="O47" s="106">
        <v>44592</v>
      </c>
      <c r="P47" s="106">
        <v>44557</v>
      </c>
      <c r="Q47" s="100" t="s">
        <v>910</v>
      </c>
      <c r="R47" s="100" t="s">
        <v>910</v>
      </c>
      <c r="S47" s="100"/>
      <c r="T47" s="100">
        <v>0</v>
      </c>
      <c r="U47" s="100" t="s">
        <v>911</v>
      </c>
      <c r="V47" s="100"/>
      <c r="W47" s="100"/>
      <c r="X47" s="100" t="s">
        <v>811</v>
      </c>
      <c r="Y47" s="100"/>
      <c r="Z47" s="100" t="s">
        <v>779</v>
      </c>
      <c r="AA47" s="100" t="s">
        <v>780</v>
      </c>
      <c r="AB47" s="100" t="s">
        <v>912</v>
      </c>
      <c r="AC47" s="100" t="s">
        <v>782</v>
      </c>
      <c r="AD47" s="100" t="s">
        <v>913</v>
      </c>
      <c r="AE47" s="100"/>
      <c r="AF47" s="100"/>
    </row>
    <row r="48" spans="1:32">
      <c r="A48" s="100" t="s">
        <v>737</v>
      </c>
      <c r="B48" s="100" t="s">
        <v>908</v>
      </c>
      <c r="C48" s="100" t="s">
        <v>771</v>
      </c>
      <c r="D48" s="100"/>
      <c r="E48" s="100" t="s">
        <v>786</v>
      </c>
      <c r="F48" s="100"/>
      <c r="G48" s="105">
        <v>9983477</v>
      </c>
      <c r="H48" s="105">
        <v>18851598</v>
      </c>
      <c r="I48" s="100" t="s">
        <v>807</v>
      </c>
      <c r="J48" s="105">
        <v>1</v>
      </c>
      <c r="K48" s="105">
        <v>22</v>
      </c>
      <c r="L48" s="101">
        <v>3800</v>
      </c>
      <c r="M48" s="100" t="s">
        <v>914</v>
      </c>
      <c r="N48" s="106">
        <v>44592</v>
      </c>
      <c r="O48" s="106">
        <v>44592</v>
      </c>
      <c r="P48" s="106">
        <v>44565</v>
      </c>
      <c r="Q48" s="100" t="s">
        <v>915</v>
      </c>
      <c r="R48" s="100" t="s">
        <v>915</v>
      </c>
      <c r="S48" s="100"/>
      <c r="T48" s="100">
        <v>0</v>
      </c>
      <c r="U48" s="100" t="s">
        <v>916</v>
      </c>
      <c r="V48" s="100"/>
      <c r="W48" s="100"/>
      <c r="X48" s="100" t="s">
        <v>811</v>
      </c>
      <c r="Y48" s="100"/>
      <c r="Z48" s="100" t="s">
        <v>779</v>
      </c>
      <c r="AA48" s="100" t="s">
        <v>780</v>
      </c>
      <c r="AB48" s="100" t="s">
        <v>912</v>
      </c>
      <c r="AC48" s="100" t="s">
        <v>782</v>
      </c>
      <c r="AD48" s="100" t="s">
        <v>913</v>
      </c>
      <c r="AE48" s="100"/>
      <c r="AF48" s="100"/>
    </row>
    <row r="49" spans="1:32">
      <c r="A49" s="100" t="s">
        <v>737</v>
      </c>
      <c r="B49" s="100" t="s">
        <v>917</v>
      </c>
      <c r="C49" s="100" t="s">
        <v>771</v>
      </c>
      <c r="D49" s="100"/>
      <c r="E49" s="100" t="s">
        <v>772</v>
      </c>
      <c r="F49" s="100"/>
      <c r="G49" s="105">
        <v>9992732</v>
      </c>
      <c r="H49" s="105">
        <v>1423150</v>
      </c>
      <c r="I49" s="100" t="s">
        <v>773</v>
      </c>
      <c r="J49" s="105">
        <v>1</v>
      </c>
      <c r="K49" s="105">
        <v>22</v>
      </c>
      <c r="L49" s="101">
        <v>515000</v>
      </c>
      <c r="M49" s="100" t="s">
        <v>918</v>
      </c>
      <c r="N49" s="106">
        <v>44271</v>
      </c>
      <c r="O49" s="106">
        <v>44587</v>
      </c>
      <c r="P49" s="106">
        <v>44587</v>
      </c>
      <c r="Q49" s="100" t="s">
        <v>919</v>
      </c>
      <c r="R49" s="100" t="s">
        <v>401</v>
      </c>
      <c r="S49" s="100" t="s">
        <v>920</v>
      </c>
      <c r="T49" s="100" t="s">
        <v>921</v>
      </c>
      <c r="U49" s="100" t="s">
        <v>922</v>
      </c>
      <c r="V49" s="100"/>
      <c r="W49" s="100"/>
      <c r="X49" s="100"/>
      <c r="Y49" s="100"/>
      <c r="Z49" s="100" t="s">
        <v>779</v>
      </c>
      <c r="AA49" s="100" t="s">
        <v>780</v>
      </c>
      <c r="AB49" s="100" t="s">
        <v>781</v>
      </c>
      <c r="AC49" s="100" t="s">
        <v>782</v>
      </c>
      <c r="AD49" s="100" t="s">
        <v>923</v>
      </c>
      <c r="AE49" s="100"/>
      <c r="AF49" s="100"/>
    </row>
    <row r="50" spans="1:32">
      <c r="A50" s="100" t="s">
        <v>737</v>
      </c>
      <c r="B50" s="100" t="s">
        <v>924</v>
      </c>
      <c r="C50" s="100" t="s">
        <v>771</v>
      </c>
      <c r="D50" s="100"/>
      <c r="E50" s="100" t="s">
        <v>772</v>
      </c>
      <c r="F50" s="100"/>
      <c r="G50" s="105">
        <v>9986806</v>
      </c>
      <c r="H50" s="105">
        <v>1421446</v>
      </c>
      <c r="I50" s="100" t="s">
        <v>773</v>
      </c>
      <c r="J50" s="105">
        <v>1</v>
      </c>
      <c r="K50" s="105">
        <v>22</v>
      </c>
      <c r="L50" s="101">
        <v>191220</v>
      </c>
      <c r="M50" s="100" t="s">
        <v>925</v>
      </c>
      <c r="N50" s="106">
        <v>44531</v>
      </c>
      <c r="O50" s="106">
        <v>44573</v>
      </c>
      <c r="P50" s="106">
        <v>44573</v>
      </c>
      <c r="Q50" s="100" t="s">
        <v>926</v>
      </c>
      <c r="R50" s="100" t="s">
        <v>495</v>
      </c>
      <c r="S50" s="100" t="s">
        <v>927</v>
      </c>
      <c r="T50" s="100" t="s">
        <v>928</v>
      </c>
      <c r="U50" s="100" t="s">
        <v>929</v>
      </c>
      <c r="V50" s="100"/>
      <c r="W50" s="100"/>
      <c r="X50" s="100"/>
      <c r="Y50" s="100"/>
      <c r="Z50" s="100" t="s">
        <v>779</v>
      </c>
      <c r="AA50" s="100" t="s">
        <v>780</v>
      </c>
      <c r="AB50" s="100" t="s">
        <v>781</v>
      </c>
      <c r="AC50" s="100" t="s">
        <v>782</v>
      </c>
      <c r="AD50" s="100" t="s">
        <v>930</v>
      </c>
      <c r="AE50" s="100"/>
      <c r="AF50" s="100"/>
    </row>
    <row r="51" spans="1:32">
      <c r="A51" s="100" t="s">
        <v>737</v>
      </c>
      <c r="B51" s="100" t="s">
        <v>931</v>
      </c>
      <c r="C51" s="100" t="s">
        <v>771</v>
      </c>
      <c r="D51" s="100"/>
      <c r="E51" s="100" t="s">
        <v>772</v>
      </c>
      <c r="F51" s="100"/>
      <c r="G51" s="105">
        <v>9986756</v>
      </c>
      <c r="H51" s="105">
        <v>1421397</v>
      </c>
      <c r="I51" s="100" t="s">
        <v>773</v>
      </c>
      <c r="J51" s="105">
        <v>1</v>
      </c>
      <c r="K51" s="105">
        <v>22</v>
      </c>
      <c r="L51" s="101">
        <v>54000</v>
      </c>
      <c r="M51" s="100" t="s">
        <v>932</v>
      </c>
      <c r="N51" s="106">
        <v>44525</v>
      </c>
      <c r="O51" s="106">
        <v>44573</v>
      </c>
      <c r="P51" s="106">
        <v>44573</v>
      </c>
      <c r="Q51" s="100" t="s">
        <v>933</v>
      </c>
      <c r="R51" s="100" t="s">
        <v>196</v>
      </c>
      <c r="S51" s="100" t="s">
        <v>934</v>
      </c>
      <c r="T51" s="100" t="s">
        <v>935</v>
      </c>
      <c r="U51" s="100" t="s">
        <v>936</v>
      </c>
      <c r="V51" s="100"/>
      <c r="W51" s="100"/>
      <c r="X51" s="100"/>
      <c r="Y51" s="100"/>
      <c r="Z51" s="100" t="s">
        <v>779</v>
      </c>
      <c r="AA51" s="100" t="s">
        <v>780</v>
      </c>
      <c r="AB51" s="100" t="s">
        <v>781</v>
      </c>
      <c r="AC51" s="100" t="s">
        <v>782</v>
      </c>
      <c r="AD51" s="100" t="s">
        <v>937</v>
      </c>
      <c r="AE51" s="100"/>
      <c r="AF51" s="100"/>
    </row>
    <row r="52" spans="1:32">
      <c r="A52" s="100" t="s">
        <v>737</v>
      </c>
      <c r="B52" s="100" t="s">
        <v>931</v>
      </c>
      <c r="C52" s="100" t="s">
        <v>771</v>
      </c>
      <c r="D52" s="100"/>
      <c r="E52" s="100" t="s">
        <v>772</v>
      </c>
      <c r="F52" s="100"/>
      <c r="G52" s="105">
        <v>9991588</v>
      </c>
      <c r="H52" s="105">
        <v>1422846</v>
      </c>
      <c r="I52" s="100" t="s">
        <v>773</v>
      </c>
      <c r="J52" s="105">
        <v>1</v>
      </c>
      <c r="K52" s="105">
        <v>22</v>
      </c>
      <c r="L52" s="101">
        <v>100000</v>
      </c>
      <c r="M52" s="100" t="s">
        <v>938</v>
      </c>
      <c r="N52" s="106">
        <v>44581</v>
      </c>
      <c r="O52" s="106">
        <v>44582</v>
      </c>
      <c r="P52" s="106">
        <v>44582</v>
      </c>
      <c r="Q52" s="100" t="s">
        <v>939</v>
      </c>
      <c r="R52" s="100" t="s">
        <v>940</v>
      </c>
      <c r="S52" s="100" t="s">
        <v>941</v>
      </c>
      <c r="T52" s="100" t="s">
        <v>942</v>
      </c>
      <c r="U52" s="100" t="s">
        <v>943</v>
      </c>
      <c r="V52" s="100"/>
      <c r="W52" s="100"/>
      <c r="X52" s="100"/>
      <c r="Y52" s="100"/>
      <c r="Z52" s="100" t="s">
        <v>779</v>
      </c>
      <c r="AA52" s="100" t="s">
        <v>780</v>
      </c>
      <c r="AB52" s="100" t="s">
        <v>781</v>
      </c>
      <c r="AC52" s="100" t="s">
        <v>782</v>
      </c>
      <c r="AD52" s="100" t="s">
        <v>937</v>
      </c>
      <c r="AE52" s="100"/>
      <c r="AF52" s="100"/>
    </row>
    <row r="53" spans="1:32">
      <c r="A53" s="100" t="s">
        <v>737</v>
      </c>
      <c r="B53" s="100" t="s">
        <v>931</v>
      </c>
      <c r="C53" s="100" t="s">
        <v>771</v>
      </c>
      <c r="D53" s="100"/>
      <c r="E53" s="100" t="s">
        <v>786</v>
      </c>
      <c r="F53" s="100"/>
      <c r="G53" s="105">
        <v>9982044</v>
      </c>
      <c r="H53" s="105">
        <v>18850634</v>
      </c>
      <c r="I53" s="100" t="s">
        <v>807</v>
      </c>
      <c r="J53" s="105">
        <v>1</v>
      </c>
      <c r="K53" s="105">
        <v>22</v>
      </c>
      <c r="L53" s="101">
        <v>-825000</v>
      </c>
      <c r="M53" s="100" t="s">
        <v>944</v>
      </c>
      <c r="N53" s="106">
        <v>44592</v>
      </c>
      <c r="O53" s="106">
        <v>44592</v>
      </c>
      <c r="P53" s="106">
        <v>44560</v>
      </c>
      <c r="Q53" s="100" t="s">
        <v>945</v>
      </c>
      <c r="R53" s="100" t="s">
        <v>946</v>
      </c>
      <c r="S53" s="100"/>
      <c r="T53" s="100">
        <v>0</v>
      </c>
      <c r="U53" s="100" t="s">
        <v>947</v>
      </c>
      <c r="V53" s="100"/>
      <c r="W53" s="100"/>
      <c r="X53" s="100" t="s">
        <v>811</v>
      </c>
      <c r="Y53" s="100"/>
      <c r="Z53" s="100" t="s">
        <v>779</v>
      </c>
      <c r="AA53" s="100" t="s">
        <v>780</v>
      </c>
      <c r="AB53" s="100" t="s">
        <v>948</v>
      </c>
      <c r="AC53" s="100" t="s">
        <v>782</v>
      </c>
      <c r="AD53" s="100" t="s">
        <v>937</v>
      </c>
      <c r="AE53" s="100"/>
      <c r="AF53" s="100"/>
    </row>
    <row r="54" spans="1:32">
      <c r="A54" s="100" t="s">
        <v>737</v>
      </c>
      <c r="B54" s="100" t="s">
        <v>931</v>
      </c>
      <c r="C54" s="100" t="s">
        <v>771</v>
      </c>
      <c r="D54" s="100"/>
      <c r="E54" s="100" t="s">
        <v>786</v>
      </c>
      <c r="F54" s="100"/>
      <c r="G54" s="105">
        <v>9982048</v>
      </c>
      <c r="H54" s="105">
        <v>18850635</v>
      </c>
      <c r="I54" s="100" t="s">
        <v>807</v>
      </c>
      <c r="J54" s="105">
        <v>1</v>
      </c>
      <c r="K54" s="105">
        <v>22</v>
      </c>
      <c r="L54" s="101">
        <v>-100000</v>
      </c>
      <c r="M54" s="100" t="s">
        <v>938</v>
      </c>
      <c r="N54" s="106">
        <v>44592</v>
      </c>
      <c r="O54" s="106">
        <v>44592</v>
      </c>
      <c r="P54" s="106">
        <v>44560</v>
      </c>
      <c r="Q54" s="100" t="s">
        <v>949</v>
      </c>
      <c r="R54" s="100" t="s">
        <v>949</v>
      </c>
      <c r="S54" s="100"/>
      <c r="T54" s="100">
        <v>0</v>
      </c>
      <c r="U54" s="100" t="s">
        <v>943</v>
      </c>
      <c r="V54" s="100"/>
      <c r="W54" s="100"/>
      <c r="X54" s="100" t="s">
        <v>811</v>
      </c>
      <c r="Y54" s="100"/>
      <c r="Z54" s="100" t="s">
        <v>779</v>
      </c>
      <c r="AA54" s="100" t="s">
        <v>780</v>
      </c>
      <c r="AB54" s="100" t="s">
        <v>948</v>
      </c>
      <c r="AC54" s="100" t="s">
        <v>782</v>
      </c>
      <c r="AD54" s="100" t="s">
        <v>937</v>
      </c>
      <c r="AE54" s="100"/>
      <c r="AF54" s="100"/>
    </row>
    <row r="55" spans="1:32">
      <c r="A55" s="100" t="s">
        <v>737</v>
      </c>
      <c r="B55" s="100" t="s">
        <v>931</v>
      </c>
      <c r="C55" s="100" t="s">
        <v>771</v>
      </c>
      <c r="D55" s="100"/>
      <c r="E55" s="100" t="s">
        <v>786</v>
      </c>
      <c r="F55" s="100"/>
      <c r="G55" s="105">
        <v>9982186</v>
      </c>
      <c r="H55" s="105">
        <v>18850688</v>
      </c>
      <c r="I55" s="100" t="s">
        <v>807</v>
      </c>
      <c r="J55" s="105">
        <v>1</v>
      </c>
      <c r="K55" s="105">
        <v>22</v>
      </c>
      <c r="L55" s="101">
        <v>-857828</v>
      </c>
      <c r="M55" s="100" t="s">
        <v>950</v>
      </c>
      <c r="N55" s="106">
        <v>44592</v>
      </c>
      <c r="O55" s="106">
        <v>44592</v>
      </c>
      <c r="P55" s="106">
        <v>44560</v>
      </c>
      <c r="Q55" s="100" t="s">
        <v>951</v>
      </c>
      <c r="R55" s="100" t="s">
        <v>951</v>
      </c>
      <c r="S55" s="100"/>
      <c r="T55" s="100">
        <v>0</v>
      </c>
      <c r="U55" s="100" t="s">
        <v>952</v>
      </c>
      <c r="V55" s="100"/>
      <c r="W55" s="100"/>
      <c r="X55" s="100" t="s">
        <v>811</v>
      </c>
      <c r="Y55" s="100"/>
      <c r="Z55" s="100" t="s">
        <v>779</v>
      </c>
      <c r="AA55" s="100" t="s">
        <v>780</v>
      </c>
      <c r="AB55" s="100" t="s">
        <v>948</v>
      </c>
      <c r="AC55" s="100" t="s">
        <v>782</v>
      </c>
      <c r="AD55" s="100" t="s">
        <v>937</v>
      </c>
      <c r="AE55" s="100"/>
      <c r="AF55" s="100"/>
    </row>
    <row r="56" spans="1:32">
      <c r="A56" s="100" t="s">
        <v>737</v>
      </c>
      <c r="B56" s="100" t="s">
        <v>931</v>
      </c>
      <c r="C56" s="100" t="s">
        <v>771</v>
      </c>
      <c r="D56" s="100"/>
      <c r="E56" s="100" t="s">
        <v>786</v>
      </c>
      <c r="F56" s="100"/>
      <c r="G56" s="105">
        <v>9982187</v>
      </c>
      <c r="H56" s="105">
        <v>18850689</v>
      </c>
      <c r="I56" s="100" t="s">
        <v>807</v>
      </c>
      <c r="J56" s="105">
        <v>1</v>
      </c>
      <c r="K56" s="105">
        <v>22</v>
      </c>
      <c r="L56" s="101">
        <v>-50000</v>
      </c>
      <c r="M56" s="100" t="s">
        <v>953</v>
      </c>
      <c r="N56" s="106">
        <v>44592</v>
      </c>
      <c r="O56" s="106">
        <v>44592</v>
      </c>
      <c r="P56" s="106">
        <v>44560</v>
      </c>
      <c r="Q56" s="100" t="s">
        <v>954</v>
      </c>
      <c r="R56" s="100" t="s">
        <v>954</v>
      </c>
      <c r="S56" s="100"/>
      <c r="T56" s="100">
        <v>0</v>
      </c>
      <c r="U56" s="100" t="s">
        <v>955</v>
      </c>
      <c r="V56" s="100"/>
      <c r="W56" s="100"/>
      <c r="X56" s="100" t="s">
        <v>811</v>
      </c>
      <c r="Y56" s="100"/>
      <c r="Z56" s="100" t="s">
        <v>779</v>
      </c>
      <c r="AA56" s="100" t="s">
        <v>780</v>
      </c>
      <c r="AB56" s="100" t="s">
        <v>948</v>
      </c>
      <c r="AC56" s="100" t="s">
        <v>782</v>
      </c>
      <c r="AD56" s="100" t="s">
        <v>937</v>
      </c>
      <c r="AE56" s="100"/>
      <c r="AF56" s="100"/>
    </row>
    <row r="57" spans="1:32">
      <c r="A57" s="100" t="s">
        <v>737</v>
      </c>
      <c r="B57" s="100" t="s">
        <v>931</v>
      </c>
      <c r="C57" s="100" t="s">
        <v>771</v>
      </c>
      <c r="D57" s="100"/>
      <c r="E57" s="100" t="s">
        <v>786</v>
      </c>
      <c r="F57" s="100"/>
      <c r="G57" s="105">
        <v>9993730</v>
      </c>
      <c r="H57" s="105">
        <v>18894117</v>
      </c>
      <c r="I57" s="100" t="s">
        <v>807</v>
      </c>
      <c r="J57" s="105">
        <v>1</v>
      </c>
      <c r="K57" s="105">
        <v>22</v>
      </c>
      <c r="L57" s="101">
        <v>-40000</v>
      </c>
      <c r="M57" s="100" t="s">
        <v>956</v>
      </c>
      <c r="N57" s="106">
        <v>44592</v>
      </c>
      <c r="O57" s="106">
        <v>44592</v>
      </c>
      <c r="P57" s="106">
        <v>44589</v>
      </c>
      <c r="Q57" s="100" t="s">
        <v>957</v>
      </c>
      <c r="R57" s="100" t="s">
        <v>958</v>
      </c>
      <c r="S57" s="100"/>
      <c r="T57" s="100">
        <v>0</v>
      </c>
      <c r="U57" s="100" t="s">
        <v>959</v>
      </c>
      <c r="V57" s="100"/>
      <c r="W57" s="100"/>
      <c r="X57" s="100" t="s">
        <v>811</v>
      </c>
      <c r="Y57" s="100"/>
      <c r="Z57" s="100" t="s">
        <v>779</v>
      </c>
      <c r="AA57" s="100" t="s">
        <v>780</v>
      </c>
      <c r="AB57" s="100" t="s">
        <v>948</v>
      </c>
      <c r="AC57" s="100" t="s">
        <v>782</v>
      </c>
      <c r="AD57" s="100" t="s">
        <v>937</v>
      </c>
      <c r="AE57" s="100"/>
      <c r="AF57" s="100"/>
    </row>
    <row r="58" spans="1:32">
      <c r="A58" s="100" t="s">
        <v>738</v>
      </c>
      <c r="B58" s="100" t="s">
        <v>960</v>
      </c>
      <c r="C58" s="100" t="s">
        <v>771</v>
      </c>
      <c r="D58" s="100"/>
      <c r="E58" s="100" t="s">
        <v>786</v>
      </c>
      <c r="F58" s="100" t="s">
        <v>772</v>
      </c>
      <c r="G58" s="105">
        <v>9979469</v>
      </c>
      <c r="H58" s="105">
        <v>18850334</v>
      </c>
      <c r="I58" s="100" t="s">
        <v>807</v>
      </c>
      <c r="J58" s="105">
        <v>1</v>
      </c>
      <c r="K58" s="105">
        <v>22</v>
      </c>
      <c r="L58" s="101">
        <v>-10000</v>
      </c>
      <c r="M58" s="100"/>
      <c r="N58" s="106">
        <v>44562</v>
      </c>
      <c r="O58" s="106">
        <v>44562</v>
      </c>
      <c r="P58" s="106">
        <v>44551</v>
      </c>
      <c r="Q58" s="100" t="s">
        <v>961</v>
      </c>
      <c r="R58" s="100" t="s">
        <v>961</v>
      </c>
      <c r="S58" s="100"/>
      <c r="T58" s="100">
        <v>0</v>
      </c>
      <c r="U58" s="100" t="s">
        <v>962</v>
      </c>
      <c r="V58" s="100"/>
      <c r="W58" s="100"/>
      <c r="X58" s="100"/>
      <c r="Y58" s="100"/>
      <c r="Z58" s="100" t="s">
        <v>779</v>
      </c>
      <c r="AA58" s="100" t="s">
        <v>780</v>
      </c>
      <c r="AB58" s="100" t="s">
        <v>963</v>
      </c>
      <c r="AC58" s="100" t="s">
        <v>964</v>
      </c>
      <c r="AD58" s="100" t="s">
        <v>965</v>
      </c>
      <c r="AE58" s="100"/>
      <c r="AF58" s="100"/>
    </row>
    <row r="59" spans="1:32">
      <c r="A59" s="100" t="s">
        <v>738</v>
      </c>
      <c r="B59" s="100" t="s">
        <v>960</v>
      </c>
      <c r="C59" s="100" t="s">
        <v>771</v>
      </c>
      <c r="D59" s="100"/>
      <c r="E59" s="100" t="s">
        <v>786</v>
      </c>
      <c r="F59" s="100" t="s">
        <v>772</v>
      </c>
      <c r="G59" s="105">
        <v>9979469</v>
      </c>
      <c r="H59" s="105">
        <v>18850334</v>
      </c>
      <c r="I59" s="100" t="s">
        <v>807</v>
      </c>
      <c r="J59" s="105">
        <v>1</v>
      </c>
      <c r="K59" s="105">
        <v>22</v>
      </c>
      <c r="L59" s="101">
        <v>10000</v>
      </c>
      <c r="M59" s="100"/>
      <c r="N59" s="106">
        <v>44562</v>
      </c>
      <c r="O59" s="106">
        <v>44562</v>
      </c>
      <c r="P59" s="106">
        <v>44551</v>
      </c>
      <c r="Q59" s="100" t="s">
        <v>961</v>
      </c>
      <c r="R59" s="100" t="s">
        <v>961</v>
      </c>
      <c r="S59" s="100"/>
      <c r="T59" s="100">
        <v>0</v>
      </c>
      <c r="U59" s="100" t="s">
        <v>962</v>
      </c>
      <c r="V59" s="100"/>
      <c r="W59" s="100"/>
      <c r="X59" s="100"/>
      <c r="Y59" s="100"/>
      <c r="Z59" s="100" t="s">
        <v>779</v>
      </c>
      <c r="AA59" s="100" t="s">
        <v>780</v>
      </c>
      <c r="AB59" s="100" t="s">
        <v>963</v>
      </c>
      <c r="AC59" s="100" t="s">
        <v>964</v>
      </c>
      <c r="AD59" s="100" t="s">
        <v>965</v>
      </c>
      <c r="AE59" s="100"/>
      <c r="AF59" s="100"/>
    </row>
    <row r="60" spans="1:32">
      <c r="A60" s="100" t="s">
        <v>738</v>
      </c>
      <c r="B60" s="100" t="s">
        <v>960</v>
      </c>
      <c r="C60" s="100" t="s">
        <v>771</v>
      </c>
      <c r="D60" s="100"/>
      <c r="E60" s="100" t="s">
        <v>786</v>
      </c>
      <c r="F60" s="100"/>
      <c r="G60" s="105">
        <v>9988586</v>
      </c>
      <c r="H60" s="105">
        <v>18852953</v>
      </c>
      <c r="I60" s="100" t="s">
        <v>807</v>
      </c>
      <c r="J60" s="105">
        <v>1</v>
      </c>
      <c r="K60" s="105">
        <v>22</v>
      </c>
      <c r="L60" s="101">
        <v>-50000</v>
      </c>
      <c r="M60" s="100" t="s">
        <v>966</v>
      </c>
      <c r="N60" s="106">
        <v>44562</v>
      </c>
      <c r="O60" s="106">
        <v>44562</v>
      </c>
      <c r="P60" s="106">
        <v>44575</v>
      </c>
      <c r="Q60" s="100" t="s">
        <v>961</v>
      </c>
      <c r="R60" s="100" t="s">
        <v>961</v>
      </c>
      <c r="S60" s="100"/>
      <c r="T60" s="100">
        <v>0</v>
      </c>
      <c r="U60" s="100" t="s">
        <v>962</v>
      </c>
      <c r="V60" s="100"/>
      <c r="W60" s="100"/>
      <c r="X60" s="100"/>
      <c r="Y60" s="100"/>
      <c r="Z60" s="100" t="s">
        <v>779</v>
      </c>
      <c r="AA60" s="100" t="s">
        <v>780</v>
      </c>
      <c r="AB60" s="100" t="s">
        <v>967</v>
      </c>
      <c r="AC60" s="100" t="s">
        <v>964</v>
      </c>
      <c r="AD60" s="100" t="s">
        <v>965</v>
      </c>
      <c r="AE60" s="100"/>
      <c r="AF60" s="100"/>
    </row>
    <row r="61" spans="1:32">
      <c r="A61" s="100" t="s">
        <v>738</v>
      </c>
      <c r="B61" s="100" t="s">
        <v>968</v>
      </c>
      <c r="C61" s="100" t="s">
        <v>771</v>
      </c>
      <c r="D61" s="100"/>
      <c r="E61" s="100" t="s">
        <v>786</v>
      </c>
      <c r="F61" s="100"/>
      <c r="G61" s="105">
        <v>9985499</v>
      </c>
      <c r="H61" s="105">
        <v>18852104</v>
      </c>
      <c r="I61" s="100" t="s">
        <v>807</v>
      </c>
      <c r="J61" s="105">
        <v>1</v>
      </c>
      <c r="K61" s="105">
        <v>22</v>
      </c>
      <c r="L61" s="101">
        <v>-40000</v>
      </c>
      <c r="M61" s="100" t="s">
        <v>969</v>
      </c>
      <c r="N61" s="106">
        <v>44592</v>
      </c>
      <c r="O61" s="106">
        <v>44592</v>
      </c>
      <c r="P61" s="106">
        <v>44571</v>
      </c>
      <c r="Q61" s="100" t="s">
        <v>970</v>
      </c>
      <c r="R61" s="100" t="s">
        <v>970</v>
      </c>
      <c r="S61" s="100"/>
      <c r="T61" s="100">
        <v>0</v>
      </c>
      <c r="U61" s="100" t="s">
        <v>971</v>
      </c>
      <c r="V61" s="100"/>
      <c r="W61" s="100"/>
      <c r="X61" s="100" t="s">
        <v>811</v>
      </c>
      <c r="Y61" s="100"/>
      <c r="Z61" s="100" t="s">
        <v>779</v>
      </c>
      <c r="AA61" s="100" t="s">
        <v>780</v>
      </c>
      <c r="AB61" s="100" t="s">
        <v>912</v>
      </c>
      <c r="AC61" s="100" t="s">
        <v>782</v>
      </c>
      <c r="AD61" s="100" t="s">
        <v>972</v>
      </c>
      <c r="AE61" s="100"/>
      <c r="AF61" s="100"/>
    </row>
    <row r="62" spans="1:32">
      <c r="A62" s="100" t="s">
        <v>738</v>
      </c>
      <c r="B62" s="100" t="s">
        <v>968</v>
      </c>
      <c r="C62" s="100" t="s">
        <v>771</v>
      </c>
      <c r="D62" s="100"/>
      <c r="E62" s="100" t="s">
        <v>786</v>
      </c>
      <c r="F62" s="100"/>
      <c r="G62" s="105">
        <v>9985510</v>
      </c>
      <c r="H62" s="105">
        <v>18852105</v>
      </c>
      <c r="I62" s="100" t="s">
        <v>807</v>
      </c>
      <c r="J62" s="105">
        <v>1</v>
      </c>
      <c r="K62" s="105">
        <v>22</v>
      </c>
      <c r="L62" s="101">
        <v>-478940.28</v>
      </c>
      <c r="M62" s="100" t="s">
        <v>973</v>
      </c>
      <c r="N62" s="106">
        <v>44592</v>
      </c>
      <c r="O62" s="106">
        <v>44592</v>
      </c>
      <c r="P62" s="106">
        <v>44571</v>
      </c>
      <c r="Q62" s="100" t="s">
        <v>974</v>
      </c>
      <c r="R62" s="100" t="s">
        <v>974</v>
      </c>
      <c r="S62" s="100"/>
      <c r="T62" s="100">
        <v>0</v>
      </c>
      <c r="U62" s="100" t="s">
        <v>975</v>
      </c>
      <c r="V62" s="100"/>
      <c r="W62" s="100"/>
      <c r="X62" s="100" t="s">
        <v>811</v>
      </c>
      <c r="Y62" s="100"/>
      <c r="Z62" s="100" t="s">
        <v>779</v>
      </c>
      <c r="AA62" s="100" t="s">
        <v>780</v>
      </c>
      <c r="AB62" s="100" t="s">
        <v>912</v>
      </c>
      <c r="AC62" s="100" t="s">
        <v>782</v>
      </c>
      <c r="AD62" s="100" t="s">
        <v>972</v>
      </c>
      <c r="AE62" s="100"/>
      <c r="AF62" s="100"/>
    </row>
    <row r="63" spans="1:32">
      <c r="A63" s="100" t="s">
        <v>738</v>
      </c>
      <c r="B63" s="100" t="s">
        <v>968</v>
      </c>
      <c r="C63" s="100" t="s">
        <v>771</v>
      </c>
      <c r="D63" s="100"/>
      <c r="E63" s="100" t="s">
        <v>786</v>
      </c>
      <c r="F63" s="100"/>
      <c r="G63" s="105">
        <v>9988812</v>
      </c>
      <c r="H63" s="105">
        <v>18853242</v>
      </c>
      <c r="I63" s="100" t="s">
        <v>807</v>
      </c>
      <c r="J63" s="105">
        <v>1</v>
      </c>
      <c r="K63" s="105">
        <v>22</v>
      </c>
      <c r="L63" s="101">
        <v>-700000</v>
      </c>
      <c r="M63" s="100" t="s">
        <v>976</v>
      </c>
      <c r="N63" s="106">
        <v>44592</v>
      </c>
      <c r="O63" s="106">
        <v>44592</v>
      </c>
      <c r="P63" s="106">
        <v>44578</v>
      </c>
      <c r="Q63" s="100" t="s">
        <v>977</v>
      </c>
      <c r="R63" s="100" t="s">
        <v>977</v>
      </c>
      <c r="S63" s="100"/>
      <c r="T63" s="100">
        <v>0</v>
      </c>
      <c r="U63" s="100" t="s">
        <v>978</v>
      </c>
      <c r="V63" s="100"/>
      <c r="W63" s="100"/>
      <c r="X63" s="100" t="s">
        <v>811</v>
      </c>
      <c r="Y63" s="100"/>
      <c r="Z63" s="100" t="s">
        <v>779</v>
      </c>
      <c r="AA63" s="100" t="s">
        <v>780</v>
      </c>
      <c r="AB63" s="100" t="s">
        <v>912</v>
      </c>
      <c r="AC63" s="100" t="s">
        <v>782</v>
      </c>
      <c r="AD63" s="100" t="s">
        <v>972</v>
      </c>
      <c r="AE63" s="100"/>
      <c r="AF63" s="100"/>
    </row>
    <row r="64" spans="1:32">
      <c r="A64" s="100" t="s">
        <v>738</v>
      </c>
      <c r="B64" s="100" t="s">
        <v>979</v>
      </c>
      <c r="C64" s="100" t="s">
        <v>771</v>
      </c>
      <c r="D64" s="100"/>
      <c r="E64" s="100" t="s">
        <v>786</v>
      </c>
      <c r="F64" s="100"/>
      <c r="G64" s="105">
        <v>9970701</v>
      </c>
      <c r="H64" s="105">
        <v>18848610</v>
      </c>
      <c r="I64" s="100" t="s">
        <v>807</v>
      </c>
      <c r="J64" s="105">
        <v>1</v>
      </c>
      <c r="K64" s="105">
        <v>22</v>
      </c>
      <c r="L64" s="101">
        <v>-511992</v>
      </c>
      <c r="M64" s="100" t="s">
        <v>980</v>
      </c>
      <c r="N64" s="106">
        <v>44562</v>
      </c>
      <c r="O64" s="106">
        <v>44562</v>
      </c>
      <c r="P64" s="106">
        <v>44536</v>
      </c>
      <c r="Q64" s="100" t="s">
        <v>981</v>
      </c>
      <c r="R64" s="100" t="s">
        <v>981</v>
      </c>
      <c r="S64" s="100"/>
      <c r="T64" s="100">
        <v>0</v>
      </c>
      <c r="U64" s="100" t="s">
        <v>982</v>
      </c>
      <c r="V64" s="100"/>
      <c r="W64" s="100"/>
      <c r="X64" s="100" t="s">
        <v>827</v>
      </c>
      <c r="Y64" s="100"/>
      <c r="Z64" s="100" t="s">
        <v>779</v>
      </c>
      <c r="AA64" s="100" t="s">
        <v>780</v>
      </c>
      <c r="AB64" s="100" t="s">
        <v>983</v>
      </c>
      <c r="AC64" s="100" t="s">
        <v>964</v>
      </c>
      <c r="AD64" s="100" t="s">
        <v>984</v>
      </c>
      <c r="AE64" s="100"/>
      <c r="AF64" s="100"/>
    </row>
    <row r="65" spans="1:32">
      <c r="A65" s="100" t="s">
        <v>738</v>
      </c>
      <c r="B65" s="100" t="s">
        <v>979</v>
      </c>
      <c r="C65" s="100" t="s">
        <v>771</v>
      </c>
      <c r="D65" s="100"/>
      <c r="E65" s="100" t="s">
        <v>786</v>
      </c>
      <c r="F65" s="100"/>
      <c r="G65" s="105">
        <v>9970720</v>
      </c>
      <c r="H65" s="105">
        <v>18848684</v>
      </c>
      <c r="I65" s="100" t="s">
        <v>807</v>
      </c>
      <c r="J65" s="105">
        <v>1</v>
      </c>
      <c r="K65" s="105">
        <v>22</v>
      </c>
      <c r="L65" s="101">
        <v>-244700</v>
      </c>
      <c r="M65" s="100" t="s">
        <v>985</v>
      </c>
      <c r="N65" s="106">
        <v>44562</v>
      </c>
      <c r="O65" s="106">
        <v>44562</v>
      </c>
      <c r="P65" s="106">
        <v>44536</v>
      </c>
      <c r="Q65" s="100" t="s">
        <v>986</v>
      </c>
      <c r="R65" s="100" t="s">
        <v>986</v>
      </c>
      <c r="S65" s="100"/>
      <c r="T65" s="100">
        <v>0</v>
      </c>
      <c r="U65" s="100" t="s">
        <v>987</v>
      </c>
      <c r="V65" s="100"/>
      <c r="W65" s="100"/>
      <c r="X65" s="100" t="s">
        <v>827</v>
      </c>
      <c r="Y65" s="100"/>
      <c r="Z65" s="100" t="s">
        <v>779</v>
      </c>
      <c r="AA65" s="100" t="s">
        <v>780</v>
      </c>
      <c r="AB65" s="100" t="s">
        <v>983</v>
      </c>
      <c r="AC65" s="100" t="s">
        <v>964</v>
      </c>
      <c r="AD65" s="100" t="s">
        <v>984</v>
      </c>
      <c r="AE65" s="100"/>
      <c r="AF65" s="100"/>
    </row>
    <row r="66" spans="1:32">
      <c r="A66" s="100" t="s">
        <v>738</v>
      </c>
      <c r="B66" s="100" t="s">
        <v>979</v>
      </c>
      <c r="C66" s="100" t="s">
        <v>771</v>
      </c>
      <c r="D66" s="100"/>
      <c r="E66" s="100" t="s">
        <v>786</v>
      </c>
      <c r="F66" s="100"/>
      <c r="G66" s="105">
        <v>9986658</v>
      </c>
      <c r="H66" s="105">
        <v>18852499</v>
      </c>
      <c r="I66" s="100" t="s">
        <v>807</v>
      </c>
      <c r="J66" s="105">
        <v>1</v>
      </c>
      <c r="K66" s="105">
        <v>22</v>
      </c>
      <c r="L66" s="101">
        <v>-25000</v>
      </c>
      <c r="M66" s="100" t="s">
        <v>988</v>
      </c>
      <c r="N66" s="106">
        <v>44562</v>
      </c>
      <c r="O66" s="106">
        <v>44562</v>
      </c>
      <c r="P66" s="106">
        <v>44573</v>
      </c>
      <c r="Q66" s="100" t="s">
        <v>989</v>
      </c>
      <c r="R66" s="100" t="s">
        <v>989</v>
      </c>
      <c r="S66" s="100"/>
      <c r="T66" s="100">
        <v>0</v>
      </c>
      <c r="U66" s="100" t="s">
        <v>990</v>
      </c>
      <c r="V66" s="100"/>
      <c r="W66" s="100"/>
      <c r="X66" s="100" t="s">
        <v>827</v>
      </c>
      <c r="Y66" s="100"/>
      <c r="Z66" s="100" t="s">
        <v>779</v>
      </c>
      <c r="AA66" s="100" t="s">
        <v>780</v>
      </c>
      <c r="AB66" s="100" t="s">
        <v>983</v>
      </c>
      <c r="AC66" s="100" t="s">
        <v>964</v>
      </c>
      <c r="AD66" s="100" t="s">
        <v>984</v>
      </c>
      <c r="AE66" s="100"/>
      <c r="AF66" s="100"/>
    </row>
    <row r="67" spans="1:32">
      <c r="A67" s="100" t="s">
        <v>738</v>
      </c>
      <c r="B67" s="100" t="s">
        <v>979</v>
      </c>
      <c r="C67" s="100" t="s">
        <v>771</v>
      </c>
      <c r="D67" s="100"/>
      <c r="E67" s="100" t="s">
        <v>786</v>
      </c>
      <c r="F67" s="100"/>
      <c r="G67" s="105">
        <v>9992179</v>
      </c>
      <c r="H67" s="105">
        <v>18855687</v>
      </c>
      <c r="I67" s="100" t="s">
        <v>807</v>
      </c>
      <c r="J67" s="105">
        <v>1</v>
      </c>
      <c r="K67" s="105">
        <v>22</v>
      </c>
      <c r="L67" s="101">
        <v>-54095</v>
      </c>
      <c r="M67" s="100" t="s">
        <v>991</v>
      </c>
      <c r="N67" s="106">
        <v>44592</v>
      </c>
      <c r="O67" s="106">
        <v>44592</v>
      </c>
      <c r="P67" s="106">
        <v>44585</v>
      </c>
      <c r="Q67" s="100" t="s">
        <v>992</v>
      </c>
      <c r="R67" s="100" t="s">
        <v>993</v>
      </c>
      <c r="S67" s="100"/>
      <c r="T67" s="100">
        <v>0</v>
      </c>
      <c r="U67" s="100" t="s">
        <v>994</v>
      </c>
      <c r="V67" s="100"/>
      <c r="W67" s="100"/>
      <c r="X67" s="100" t="s">
        <v>827</v>
      </c>
      <c r="Y67" s="100"/>
      <c r="Z67" s="100" t="s">
        <v>779</v>
      </c>
      <c r="AA67" s="100" t="s">
        <v>780</v>
      </c>
      <c r="AB67" s="100" t="s">
        <v>983</v>
      </c>
      <c r="AC67" s="100" t="s">
        <v>964</v>
      </c>
      <c r="AD67" s="100" t="s">
        <v>984</v>
      </c>
      <c r="AE67" s="100"/>
      <c r="AF67" s="100"/>
    </row>
    <row r="68" spans="1:32">
      <c r="A68" s="100" t="s">
        <v>738</v>
      </c>
      <c r="B68" s="100" t="s">
        <v>979</v>
      </c>
      <c r="C68" s="100" t="s">
        <v>771</v>
      </c>
      <c r="D68" s="100"/>
      <c r="E68" s="100" t="s">
        <v>786</v>
      </c>
      <c r="F68" s="100"/>
      <c r="G68" s="105">
        <v>9992179</v>
      </c>
      <c r="H68" s="105">
        <v>18855687</v>
      </c>
      <c r="I68" s="100" t="s">
        <v>807</v>
      </c>
      <c r="J68" s="105">
        <v>1</v>
      </c>
      <c r="K68" s="105">
        <v>22</v>
      </c>
      <c r="L68" s="101">
        <v>-15000</v>
      </c>
      <c r="M68" s="100" t="s">
        <v>995</v>
      </c>
      <c r="N68" s="106">
        <v>44592</v>
      </c>
      <c r="O68" s="106">
        <v>44592</v>
      </c>
      <c r="P68" s="106">
        <v>44585</v>
      </c>
      <c r="Q68" s="100" t="s">
        <v>996</v>
      </c>
      <c r="R68" s="100" t="s">
        <v>993</v>
      </c>
      <c r="S68" s="100"/>
      <c r="T68" s="100">
        <v>0</v>
      </c>
      <c r="U68" s="100" t="s">
        <v>997</v>
      </c>
      <c r="V68" s="100"/>
      <c r="W68" s="100"/>
      <c r="X68" s="100" t="s">
        <v>827</v>
      </c>
      <c r="Y68" s="100"/>
      <c r="Z68" s="100" t="s">
        <v>779</v>
      </c>
      <c r="AA68" s="100" t="s">
        <v>780</v>
      </c>
      <c r="AB68" s="100" t="s">
        <v>983</v>
      </c>
      <c r="AC68" s="100" t="s">
        <v>964</v>
      </c>
      <c r="AD68" s="100" t="s">
        <v>984</v>
      </c>
      <c r="AE68" s="100"/>
      <c r="AF68" s="100"/>
    </row>
    <row r="69" spans="1:32">
      <c r="A69" s="102" t="s">
        <v>736</v>
      </c>
      <c r="B69" s="102" t="s">
        <v>829</v>
      </c>
      <c r="C69" s="102" t="s">
        <v>771</v>
      </c>
      <c r="D69" s="102"/>
      <c r="E69" s="102" t="s">
        <v>786</v>
      </c>
      <c r="F69" s="102"/>
      <c r="G69" s="105">
        <v>9995115</v>
      </c>
      <c r="H69" s="105">
        <v>18897388</v>
      </c>
      <c r="I69" s="102" t="s">
        <v>807</v>
      </c>
      <c r="J69" s="105">
        <v>1</v>
      </c>
      <c r="K69" s="105">
        <v>22</v>
      </c>
      <c r="L69" s="107">
        <v>-50000</v>
      </c>
      <c r="M69" s="108">
        <v>44591</v>
      </c>
      <c r="N69" s="108">
        <v>44591</v>
      </c>
      <c r="O69" s="108">
        <v>44594</v>
      </c>
      <c r="P69" s="102" t="s">
        <v>998</v>
      </c>
      <c r="Q69" s="102" t="s">
        <v>998</v>
      </c>
      <c r="R69" s="102"/>
      <c r="S69" s="102">
        <v>0</v>
      </c>
      <c r="T69" s="102" t="s">
        <v>842</v>
      </c>
      <c r="U69" s="102"/>
      <c r="V69" s="102"/>
      <c r="W69" s="102" t="s">
        <v>827</v>
      </c>
      <c r="X69" s="102"/>
      <c r="Y69" s="102" t="s">
        <v>779</v>
      </c>
      <c r="Z69" s="102" t="s">
        <v>780</v>
      </c>
      <c r="AA69" s="102" t="s">
        <v>999</v>
      </c>
      <c r="AB69" s="102" t="s">
        <v>1000</v>
      </c>
      <c r="AC69" s="102" t="s">
        <v>836</v>
      </c>
      <c r="AD69" s="102" t="s">
        <v>837</v>
      </c>
      <c r="AE69" s="102"/>
      <c r="AF69" s="102"/>
    </row>
    <row r="70" spans="1:32">
      <c r="A70" s="102" t="s">
        <v>738</v>
      </c>
      <c r="B70" s="102" t="s">
        <v>1001</v>
      </c>
      <c r="C70" s="102" t="s">
        <v>771</v>
      </c>
      <c r="D70" s="102"/>
      <c r="E70" s="102" t="s">
        <v>786</v>
      </c>
      <c r="F70" s="102"/>
      <c r="G70" s="109">
        <v>9978900</v>
      </c>
      <c r="H70" s="109">
        <v>18850269</v>
      </c>
      <c r="I70" s="102" t="s">
        <v>807</v>
      </c>
      <c r="J70" s="109">
        <v>1</v>
      </c>
      <c r="K70" s="109">
        <v>22</v>
      </c>
      <c r="L70" s="107">
        <v>-50000</v>
      </c>
      <c r="M70" s="102" t="s">
        <v>1002</v>
      </c>
      <c r="N70" s="108">
        <v>44592</v>
      </c>
      <c r="O70" s="108">
        <v>44592</v>
      </c>
      <c r="P70" s="108">
        <v>44550</v>
      </c>
      <c r="Q70" s="102" t="s">
        <v>1003</v>
      </c>
      <c r="R70" s="102" t="s">
        <v>1004</v>
      </c>
      <c r="S70" s="102"/>
      <c r="T70" s="102">
        <v>0</v>
      </c>
      <c r="U70" s="102" t="s">
        <v>1005</v>
      </c>
      <c r="V70" s="102"/>
      <c r="W70" s="102"/>
      <c r="X70" s="102"/>
      <c r="Y70" s="102"/>
      <c r="Z70" s="102" t="s">
        <v>779</v>
      </c>
      <c r="AA70" s="102" t="s">
        <v>780</v>
      </c>
      <c r="AB70" s="102" t="s">
        <v>1006</v>
      </c>
      <c r="AC70" s="102" t="s">
        <v>964</v>
      </c>
      <c r="AD70" s="102" t="s">
        <v>1007</v>
      </c>
      <c r="AE70" s="102"/>
      <c r="AF70" s="102"/>
    </row>
    <row r="71" spans="1:32">
      <c r="A71" s="103" t="s">
        <v>740</v>
      </c>
      <c r="B71" s="103"/>
      <c r="C71" s="103"/>
      <c r="D71" s="103"/>
      <c r="E71" s="103"/>
      <c r="F71" s="103"/>
      <c r="G71" s="110"/>
      <c r="H71" s="110"/>
      <c r="I71" s="103"/>
      <c r="J71" s="110"/>
      <c r="K71" s="110"/>
      <c r="L71" s="111">
        <v>-1363258.88</v>
      </c>
      <c r="M71" s="103"/>
      <c r="N71" s="103"/>
      <c r="O71" s="103"/>
      <c r="P71" s="103"/>
      <c r="Q71" s="103"/>
      <c r="R71" s="103"/>
      <c r="S71" s="103"/>
      <c r="T71" s="103"/>
      <c r="U71" s="103"/>
      <c r="V71" s="103"/>
      <c r="W71" s="103"/>
      <c r="X71" s="103"/>
      <c r="Y71" s="103"/>
      <c r="Z71" s="103"/>
      <c r="AA71" s="103"/>
      <c r="AB71" s="103"/>
      <c r="AC71" s="103"/>
      <c r="AD71" s="103"/>
      <c r="AE71" s="103"/>
      <c r="AF71" s="103"/>
    </row>
    <row r="72" spans="1:32">
      <c r="G72" s="112"/>
      <c r="H72" s="112"/>
      <c r="J72" s="112"/>
      <c r="K72" s="112"/>
    </row>
    <row r="73" spans="1:32">
      <c r="G73" s="112"/>
      <c r="H73" s="112"/>
      <c r="J73" s="112"/>
      <c r="K73" s="112"/>
    </row>
    <row r="74" spans="1:32">
      <c r="G74" s="112"/>
      <c r="H74" s="112"/>
      <c r="J74" s="112"/>
      <c r="K74" s="112"/>
    </row>
    <row r="75" spans="1:32" ht="31.5">
      <c r="A75" s="97" t="s">
        <v>735</v>
      </c>
      <c r="B75" s="97" t="s">
        <v>688</v>
      </c>
      <c r="C75" s="97" t="s">
        <v>741</v>
      </c>
      <c r="D75" s="97" t="s">
        <v>742</v>
      </c>
      <c r="E75" s="97" t="s">
        <v>743</v>
      </c>
      <c r="F75" s="97" t="s">
        <v>744</v>
      </c>
      <c r="G75" s="97" t="s">
        <v>745</v>
      </c>
      <c r="H75" s="97" t="s">
        <v>746</v>
      </c>
      <c r="I75" s="97" t="s">
        <v>747</v>
      </c>
      <c r="J75" s="97" t="s">
        <v>748</v>
      </c>
      <c r="K75" s="97" t="s">
        <v>749</v>
      </c>
      <c r="L75" s="97" t="s">
        <v>750</v>
      </c>
      <c r="M75" s="97" t="s">
        <v>752</v>
      </c>
      <c r="N75" s="97" t="s">
        <v>10</v>
      </c>
      <c r="O75" s="97" t="s">
        <v>753</v>
      </c>
      <c r="P75" s="97" t="s">
        <v>754</v>
      </c>
      <c r="Q75" s="97" t="s">
        <v>755</v>
      </c>
      <c r="R75" s="97" t="s">
        <v>756</v>
      </c>
      <c r="S75" s="97" t="s">
        <v>757</v>
      </c>
      <c r="T75" s="97" t="s">
        <v>758</v>
      </c>
      <c r="U75" s="97" t="s">
        <v>759</v>
      </c>
      <c r="V75" s="97" t="s">
        <v>760</v>
      </c>
      <c r="W75" s="97" t="s">
        <v>761</v>
      </c>
      <c r="X75" s="97" t="s">
        <v>762</v>
      </c>
      <c r="Y75" s="97" t="s">
        <v>763</v>
      </c>
      <c r="Z75" s="97" t="s">
        <v>764</v>
      </c>
      <c r="AA75" s="97" t="s">
        <v>765</v>
      </c>
      <c r="AB75" s="97" t="s">
        <v>766</v>
      </c>
      <c r="AC75" s="97" t="s">
        <v>767</v>
      </c>
      <c r="AD75" s="97" t="s">
        <v>751</v>
      </c>
      <c r="AE75" s="97" t="s">
        <v>768</v>
      </c>
      <c r="AF75" s="97" t="s">
        <v>769</v>
      </c>
    </row>
    <row r="76" spans="1:32">
      <c r="A76" s="100" t="s">
        <v>739</v>
      </c>
      <c r="B76" s="100" t="s">
        <v>770</v>
      </c>
      <c r="C76" s="100" t="s">
        <v>771</v>
      </c>
      <c r="D76" s="100"/>
      <c r="E76" s="100" t="s">
        <v>772</v>
      </c>
      <c r="F76" s="100"/>
      <c r="G76" s="105">
        <v>10000267</v>
      </c>
      <c r="H76" s="105">
        <v>1425986</v>
      </c>
      <c r="I76" s="100" t="s">
        <v>773</v>
      </c>
      <c r="J76" s="105">
        <v>2</v>
      </c>
      <c r="K76" s="105">
        <v>22</v>
      </c>
      <c r="L76" s="101">
        <v>342240</v>
      </c>
      <c r="M76" s="106">
        <v>44592</v>
      </c>
      <c r="N76" s="106">
        <v>44603</v>
      </c>
      <c r="O76" s="106">
        <v>44603</v>
      </c>
      <c r="P76" s="100" t="s">
        <v>1008</v>
      </c>
      <c r="Q76" s="100" t="s">
        <v>1009</v>
      </c>
      <c r="R76" s="100" t="s">
        <v>1010</v>
      </c>
      <c r="S76" s="100" t="s">
        <v>1011</v>
      </c>
      <c r="T76" s="100" t="s">
        <v>1012</v>
      </c>
      <c r="U76" s="100"/>
      <c r="V76" s="100"/>
      <c r="W76" s="100"/>
      <c r="X76" s="100"/>
      <c r="Y76" s="100" t="s">
        <v>779</v>
      </c>
      <c r="Z76" s="100" t="s">
        <v>780</v>
      </c>
      <c r="AA76" s="100" t="s">
        <v>781</v>
      </c>
      <c r="AB76" s="100" t="s">
        <v>782</v>
      </c>
      <c r="AC76" s="100" t="s">
        <v>783</v>
      </c>
      <c r="AD76" s="100" t="s">
        <v>1013</v>
      </c>
      <c r="AE76" s="100"/>
      <c r="AF76" s="100"/>
    </row>
    <row r="77" spans="1:32">
      <c r="A77" s="100" t="s">
        <v>739</v>
      </c>
      <c r="B77" s="100" t="s">
        <v>770</v>
      </c>
      <c r="C77" s="100" t="s">
        <v>771</v>
      </c>
      <c r="D77" s="100"/>
      <c r="E77" s="100" t="s">
        <v>772</v>
      </c>
      <c r="F77" s="100"/>
      <c r="G77" s="105">
        <v>10005401</v>
      </c>
      <c r="H77" s="105">
        <v>1426119</v>
      </c>
      <c r="I77" s="100" t="s">
        <v>773</v>
      </c>
      <c r="J77" s="105">
        <v>2</v>
      </c>
      <c r="K77" s="105">
        <v>22</v>
      </c>
      <c r="L77" s="101">
        <v>69303.75</v>
      </c>
      <c r="M77" s="106">
        <v>44594</v>
      </c>
      <c r="N77" s="106">
        <v>44620</v>
      </c>
      <c r="O77" s="106">
        <v>44620</v>
      </c>
      <c r="P77" s="100" t="s">
        <v>775</v>
      </c>
      <c r="Q77" s="100" t="s">
        <v>236</v>
      </c>
      <c r="R77" s="100" t="s">
        <v>1014</v>
      </c>
      <c r="S77" s="100" t="s">
        <v>777</v>
      </c>
      <c r="T77" s="100" t="s">
        <v>778</v>
      </c>
      <c r="U77" s="100"/>
      <c r="V77" s="100"/>
      <c r="W77" s="100"/>
      <c r="X77" s="100"/>
      <c r="Y77" s="100" t="s">
        <v>779</v>
      </c>
      <c r="Z77" s="100" t="s">
        <v>780</v>
      </c>
      <c r="AA77" s="100" t="s">
        <v>781</v>
      </c>
      <c r="AB77" s="100" t="s">
        <v>1015</v>
      </c>
      <c r="AC77" s="100" t="s">
        <v>783</v>
      </c>
      <c r="AD77" s="100" t="s">
        <v>774</v>
      </c>
      <c r="AE77" s="100"/>
      <c r="AF77" s="100"/>
    </row>
    <row r="78" spans="1:32">
      <c r="A78" s="100" t="s">
        <v>739</v>
      </c>
      <c r="B78" s="100" t="s">
        <v>1016</v>
      </c>
      <c r="C78" s="100" t="s">
        <v>771</v>
      </c>
      <c r="D78" s="100"/>
      <c r="E78" s="100" t="s">
        <v>786</v>
      </c>
      <c r="F78" s="100"/>
      <c r="G78" s="105">
        <v>10002626</v>
      </c>
      <c r="H78" s="105">
        <v>18950452</v>
      </c>
      <c r="I78" s="100" t="s">
        <v>807</v>
      </c>
      <c r="J78" s="105">
        <v>2</v>
      </c>
      <c r="K78" s="105">
        <v>22</v>
      </c>
      <c r="L78" s="101">
        <v>-75000</v>
      </c>
      <c r="M78" s="106">
        <v>44620</v>
      </c>
      <c r="N78" s="106">
        <v>44620</v>
      </c>
      <c r="O78" s="106">
        <v>44610</v>
      </c>
      <c r="P78" s="100" t="s">
        <v>1017</v>
      </c>
      <c r="Q78" s="100" t="s">
        <v>1018</v>
      </c>
      <c r="R78" s="100"/>
      <c r="S78" s="100">
        <v>0</v>
      </c>
      <c r="T78" s="100" t="s">
        <v>1019</v>
      </c>
      <c r="U78" s="100"/>
      <c r="V78" s="100"/>
      <c r="W78" s="100" t="s">
        <v>827</v>
      </c>
      <c r="X78" s="100"/>
      <c r="Y78" s="100" t="s">
        <v>779</v>
      </c>
      <c r="Z78" s="100" t="s">
        <v>780</v>
      </c>
      <c r="AA78" s="100" t="s">
        <v>1020</v>
      </c>
      <c r="AB78" s="100" t="s">
        <v>782</v>
      </c>
      <c r="AC78" s="100" t="s">
        <v>1021</v>
      </c>
      <c r="AD78" s="100" t="s">
        <v>1022</v>
      </c>
      <c r="AE78" s="100"/>
      <c r="AF78" s="100"/>
    </row>
    <row r="79" spans="1:32">
      <c r="A79" s="100" t="s">
        <v>739</v>
      </c>
      <c r="B79" s="100" t="s">
        <v>785</v>
      </c>
      <c r="C79" s="100" t="s">
        <v>771</v>
      </c>
      <c r="D79" s="100"/>
      <c r="E79" s="100" t="s">
        <v>772</v>
      </c>
      <c r="F79" s="100"/>
      <c r="G79" s="105">
        <v>9995811</v>
      </c>
      <c r="H79" s="105">
        <v>1424252</v>
      </c>
      <c r="I79" s="100" t="s">
        <v>773</v>
      </c>
      <c r="J79" s="105">
        <v>2</v>
      </c>
      <c r="K79" s="105">
        <v>22</v>
      </c>
      <c r="L79" s="101">
        <v>200000</v>
      </c>
      <c r="M79" s="106">
        <v>43861</v>
      </c>
      <c r="N79" s="106">
        <v>44595</v>
      </c>
      <c r="O79" s="106">
        <v>44595</v>
      </c>
      <c r="P79" s="100" t="s">
        <v>1023</v>
      </c>
      <c r="Q79" s="100" t="s">
        <v>336</v>
      </c>
      <c r="R79" s="100" t="s">
        <v>1024</v>
      </c>
      <c r="S79" s="100" t="s">
        <v>1025</v>
      </c>
      <c r="T79" s="100" t="s">
        <v>1026</v>
      </c>
      <c r="U79" s="100"/>
      <c r="V79" s="100"/>
      <c r="W79" s="100"/>
      <c r="X79" s="100"/>
      <c r="Y79" s="100" t="s">
        <v>779</v>
      </c>
      <c r="Z79" s="100" t="s">
        <v>780</v>
      </c>
      <c r="AA79" s="100" t="s">
        <v>781</v>
      </c>
      <c r="AB79" s="100" t="s">
        <v>782</v>
      </c>
      <c r="AC79" s="100" t="s">
        <v>794</v>
      </c>
      <c r="AD79" s="100" t="s">
        <v>1027</v>
      </c>
      <c r="AE79" s="100"/>
      <c r="AF79" s="100"/>
    </row>
    <row r="80" spans="1:32">
      <c r="A80" s="100" t="s">
        <v>739</v>
      </c>
      <c r="B80" s="100" t="s">
        <v>785</v>
      </c>
      <c r="C80" s="100" t="s">
        <v>771</v>
      </c>
      <c r="D80" s="100"/>
      <c r="E80" s="100" t="s">
        <v>772</v>
      </c>
      <c r="F80" s="100"/>
      <c r="G80" s="105">
        <v>9999112</v>
      </c>
      <c r="H80" s="105">
        <v>1425368</v>
      </c>
      <c r="I80" s="100" t="s">
        <v>773</v>
      </c>
      <c r="J80" s="105">
        <v>2</v>
      </c>
      <c r="K80" s="105">
        <v>22</v>
      </c>
      <c r="L80" s="101">
        <v>462857.14</v>
      </c>
      <c r="M80" s="106">
        <v>44601</v>
      </c>
      <c r="N80" s="106">
        <v>44602</v>
      </c>
      <c r="O80" s="106">
        <v>44602</v>
      </c>
      <c r="P80" s="100" t="s">
        <v>1023</v>
      </c>
      <c r="Q80" s="100" t="s">
        <v>336</v>
      </c>
      <c r="R80" s="100" t="s">
        <v>1028</v>
      </c>
      <c r="S80" s="100" t="s">
        <v>1025</v>
      </c>
      <c r="T80" s="100" t="s">
        <v>1026</v>
      </c>
      <c r="U80" s="100"/>
      <c r="V80" s="100"/>
      <c r="W80" s="100"/>
      <c r="X80" s="100"/>
      <c r="Y80" s="100" t="s">
        <v>779</v>
      </c>
      <c r="Z80" s="100" t="s">
        <v>780</v>
      </c>
      <c r="AA80" s="100" t="s">
        <v>781</v>
      </c>
      <c r="AB80" s="100" t="s">
        <v>782</v>
      </c>
      <c r="AC80" s="100" t="s">
        <v>794</v>
      </c>
      <c r="AD80" s="100" t="s">
        <v>1027</v>
      </c>
      <c r="AE80" s="100"/>
      <c r="AF80" s="100"/>
    </row>
    <row r="81" spans="1:32">
      <c r="A81" s="100" t="s">
        <v>739</v>
      </c>
      <c r="B81" s="100" t="s">
        <v>795</v>
      </c>
      <c r="C81" s="100" t="s">
        <v>771</v>
      </c>
      <c r="D81" s="100"/>
      <c r="E81" s="100" t="s">
        <v>802</v>
      </c>
      <c r="F81" s="100"/>
      <c r="G81" s="105">
        <v>9997876</v>
      </c>
      <c r="H81" s="105">
        <v>3934463</v>
      </c>
      <c r="I81" s="100" t="s">
        <v>803</v>
      </c>
      <c r="J81" s="105">
        <v>2</v>
      </c>
      <c r="K81" s="105">
        <v>22</v>
      </c>
      <c r="L81" s="101">
        <v>53622.91</v>
      </c>
      <c r="M81" s="106">
        <v>44620</v>
      </c>
      <c r="N81" s="106">
        <v>44601</v>
      </c>
      <c r="O81" s="106">
        <v>44601</v>
      </c>
      <c r="P81" s="100" t="s">
        <v>804</v>
      </c>
      <c r="Q81" s="100" t="s">
        <v>459</v>
      </c>
      <c r="R81" s="100"/>
      <c r="S81" s="100" t="s">
        <v>1029</v>
      </c>
      <c r="T81" s="100" t="s">
        <v>1030</v>
      </c>
      <c r="U81" s="100"/>
      <c r="V81" s="100"/>
      <c r="W81" s="100"/>
      <c r="X81" s="100"/>
      <c r="Y81" s="100" t="s">
        <v>779</v>
      </c>
      <c r="Z81" s="100" t="s">
        <v>780</v>
      </c>
      <c r="AA81" s="100" t="s">
        <v>782</v>
      </c>
      <c r="AB81" s="100" t="s">
        <v>782</v>
      </c>
      <c r="AC81" s="100" t="s">
        <v>801</v>
      </c>
      <c r="AD81" s="100"/>
      <c r="AE81" s="100"/>
      <c r="AF81" s="100"/>
    </row>
    <row r="82" spans="1:32">
      <c r="A82" s="100" t="s">
        <v>739</v>
      </c>
      <c r="B82" s="100" t="s">
        <v>813</v>
      </c>
      <c r="C82" s="100" t="s">
        <v>771</v>
      </c>
      <c r="D82" s="100"/>
      <c r="E82" s="100" t="s">
        <v>786</v>
      </c>
      <c r="F82" s="100"/>
      <c r="G82" s="105">
        <v>10002626</v>
      </c>
      <c r="H82" s="105">
        <v>18950453</v>
      </c>
      <c r="I82" s="100" t="s">
        <v>807</v>
      </c>
      <c r="J82" s="105">
        <v>2</v>
      </c>
      <c r="K82" s="105">
        <v>22</v>
      </c>
      <c r="L82" s="101">
        <v>-45000</v>
      </c>
      <c r="M82" s="106">
        <v>44620</v>
      </c>
      <c r="N82" s="106">
        <v>44620</v>
      </c>
      <c r="O82" s="106">
        <v>44610</v>
      </c>
      <c r="P82" s="100" t="s">
        <v>804</v>
      </c>
      <c r="Q82" s="100" t="s">
        <v>1018</v>
      </c>
      <c r="R82" s="100"/>
      <c r="S82" s="100">
        <v>0</v>
      </c>
      <c r="T82" s="100" t="s">
        <v>816</v>
      </c>
      <c r="U82" s="100"/>
      <c r="V82" s="100"/>
      <c r="W82" s="100" t="s">
        <v>827</v>
      </c>
      <c r="X82" s="100"/>
      <c r="Y82" s="100" t="s">
        <v>779</v>
      </c>
      <c r="Z82" s="100" t="s">
        <v>780</v>
      </c>
      <c r="AA82" s="100" t="s">
        <v>1020</v>
      </c>
      <c r="AB82" s="100" t="s">
        <v>782</v>
      </c>
      <c r="AC82" s="100" t="s">
        <v>817</v>
      </c>
      <c r="AD82" s="100"/>
      <c r="AE82" s="100"/>
      <c r="AF82" s="100"/>
    </row>
    <row r="83" spans="1:32">
      <c r="A83" s="100" t="s">
        <v>739</v>
      </c>
      <c r="B83" s="100" t="s">
        <v>813</v>
      </c>
      <c r="C83" s="100" t="s">
        <v>771</v>
      </c>
      <c r="D83" s="100"/>
      <c r="E83" s="100" t="s">
        <v>786</v>
      </c>
      <c r="F83" s="100"/>
      <c r="G83" s="105">
        <v>10002626</v>
      </c>
      <c r="H83" s="105">
        <v>18950453</v>
      </c>
      <c r="I83" s="100" t="s">
        <v>807</v>
      </c>
      <c r="J83" s="105">
        <v>2</v>
      </c>
      <c r="K83" s="105">
        <v>22</v>
      </c>
      <c r="L83" s="101">
        <v>45000</v>
      </c>
      <c r="M83" s="106">
        <v>44620</v>
      </c>
      <c r="N83" s="106">
        <v>44620</v>
      </c>
      <c r="O83" s="106">
        <v>44610</v>
      </c>
      <c r="P83" s="100" t="s">
        <v>804</v>
      </c>
      <c r="Q83" s="100" t="s">
        <v>1018</v>
      </c>
      <c r="R83" s="100"/>
      <c r="S83" s="100">
        <v>0</v>
      </c>
      <c r="T83" s="100" t="s">
        <v>1031</v>
      </c>
      <c r="U83" s="100"/>
      <c r="V83" s="100"/>
      <c r="W83" s="100" t="s">
        <v>827</v>
      </c>
      <c r="X83" s="100"/>
      <c r="Y83" s="100" t="s">
        <v>779</v>
      </c>
      <c r="Z83" s="100" t="s">
        <v>780</v>
      </c>
      <c r="AA83" s="100" t="s">
        <v>1020</v>
      </c>
      <c r="AB83" s="100" t="s">
        <v>782</v>
      </c>
      <c r="AC83" s="100" t="s">
        <v>817</v>
      </c>
      <c r="AD83" s="100" t="s">
        <v>1032</v>
      </c>
      <c r="AE83" s="100"/>
      <c r="AF83" s="100"/>
    </row>
    <row r="84" spans="1:32">
      <c r="A84" s="100" t="s">
        <v>739</v>
      </c>
      <c r="B84" s="100" t="s">
        <v>813</v>
      </c>
      <c r="C84" s="100" t="s">
        <v>771</v>
      </c>
      <c r="D84" s="100"/>
      <c r="E84" s="100" t="s">
        <v>786</v>
      </c>
      <c r="F84" s="100"/>
      <c r="G84" s="105">
        <v>10002626</v>
      </c>
      <c r="H84" s="105">
        <v>18950453</v>
      </c>
      <c r="I84" s="100" t="s">
        <v>807</v>
      </c>
      <c r="J84" s="105">
        <v>2</v>
      </c>
      <c r="K84" s="105">
        <v>22</v>
      </c>
      <c r="L84" s="101">
        <v>-0.01</v>
      </c>
      <c r="M84" s="106">
        <v>44620</v>
      </c>
      <c r="N84" s="106">
        <v>44620</v>
      </c>
      <c r="O84" s="106">
        <v>44610</v>
      </c>
      <c r="P84" s="100" t="s">
        <v>1033</v>
      </c>
      <c r="Q84" s="100" t="s">
        <v>1018</v>
      </c>
      <c r="R84" s="100"/>
      <c r="S84" s="100">
        <v>0</v>
      </c>
      <c r="T84" s="100" t="s">
        <v>1031</v>
      </c>
      <c r="U84" s="100"/>
      <c r="V84" s="100"/>
      <c r="W84" s="100" t="s">
        <v>827</v>
      </c>
      <c r="X84" s="100"/>
      <c r="Y84" s="100" t="s">
        <v>779</v>
      </c>
      <c r="Z84" s="100" t="s">
        <v>780</v>
      </c>
      <c r="AA84" s="100" t="s">
        <v>1020</v>
      </c>
      <c r="AB84" s="100" t="s">
        <v>782</v>
      </c>
      <c r="AC84" s="100" t="s">
        <v>817</v>
      </c>
      <c r="AD84" s="100" t="s">
        <v>1032</v>
      </c>
      <c r="AE84" s="100"/>
      <c r="AF84" s="100"/>
    </row>
    <row r="85" spans="1:32">
      <c r="A85" s="100" t="s">
        <v>736</v>
      </c>
      <c r="B85" s="100" t="s">
        <v>1034</v>
      </c>
      <c r="C85" s="100" t="s">
        <v>771</v>
      </c>
      <c r="D85" s="100"/>
      <c r="E85" s="100" t="s">
        <v>772</v>
      </c>
      <c r="F85" s="100"/>
      <c r="G85" s="105">
        <v>9999680</v>
      </c>
      <c r="H85" s="105">
        <v>1425530</v>
      </c>
      <c r="I85" s="100" t="s">
        <v>773</v>
      </c>
      <c r="J85" s="105">
        <v>2</v>
      </c>
      <c r="K85" s="105">
        <v>22</v>
      </c>
      <c r="L85" s="101">
        <v>55000</v>
      </c>
      <c r="M85" s="106">
        <v>44593</v>
      </c>
      <c r="N85" s="106">
        <v>44603</v>
      </c>
      <c r="O85" s="106">
        <v>44603</v>
      </c>
      <c r="P85" s="100" t="s">
        <v>1035</v>
      </c>
      <c r="Q85" s="100" t="s">
        <v>1036</v>
      </c>
      <c r="R85" s="100" t="s">
        <v>1037</v>
      </c>
      <c r="S85" s="100" t="s">
        <v>1036</v>
      </c>
      <c r="T85" s="100" t="s">
        <v>1038</v>
      </c>
      <c r="U85" s="100"/>
      <c r="V85" s="100"/>
      <c r="W85" s="100"/>
      <c r="X85" s="100"/>
      <c r="Y85" s="100" t="s">
        <v>779</v>
      </c>
      <c r="Z85" s="100" t="s">
        <v>780</v>
      </c>
      <c r="AA85" s="100" t="s">
        <v>781</v>
      </c>
      <c r="AB85" s="100" t="s">
        <v>782</v>
      </c>
      <c r="AC85" s="100" t="s">
        <v>1039</v>
      </c>
      <c r="AD85" s="100" t="s">
        <v>1040</v>
      </c>
      <c r="AE85" s="100"/>
      <c r="AF85" s="100"/>
    </row>
    <row r="86" spans="1:32">
      <c r="A86" s="100" t="s">
        <v>738</v>
      </c>
      <c r="B86" s="100" t="s">
        <v>960</v>
      </c>
      <c r="C86" s="100" t="s">
        <v>771</v>
      </c>
      <c r="D86" s="100"/>
      <c r="E86" s="100" t="s">
        <v>772</v>
      </c>
      <c r="F86" s="100"/>
      <c r="G86" s="105">
        <v>9997154</v>
      </c>
      <c r="H86" s="105">
        <v>1424761</v>
      </c>
      <c r="I86" s="100" t="s">
        <v>773</v>
      </c>
      <c r="J86" s="105">
        <v>2</v>
      </c>
      <c r="K86" s="105">
        <v>22</v>
      </c>
      <c r="L86" s="101">
        <v>50000</v>
      </c>
      <c r="M86" s="106">
        <v>44594</v>
      </c>
      <c r="N86" s="106">
        <v>44599</v>
      </c>
      <c r="O86" s="106">
        <v>44599</v>
      </c>
      <c r="P86" s="100" t="s">
        <v>1041</v>
      </c>
      <c r="Q86" s="100" t="s">
        <v>382</v>
      </c>
      <c r="R86" s="100" t="s">
        <v>1042</v>
      </c>
      <c r="S86" s="100" t="s">
        <v>1043</v>
      </c>
      <c r="T86" s="100" t="s">
        <v>962</v>
      </c>
      <c r="U86" s="100"/>
      <c r="V86" s="100"/>
      <c r="W86" s="100"/>
      <c r="X86" s="100"/>
      <c r="Y86" s="100" t="s">
        <v>779</v>
      </c>
      <c r="Z86" s="100" t="s">
        <v>780</v>
      </c>
      <c r="AA86" s="100" t="s">
        <v>781</v>
      </c>
      <c r="AB86" s="100" t="s">
        <v>782</v>
      </c>
      <c r="AC86" s="100" t="s">
        <v>965</v>
      </c>
      <c r="AD86" s="100" t="s">
        <v>966</v>
      </c>
      <c r="AE86" s="100"/>
      <c r="AF86" s="100"/>
    </row>
    <row r="87" spans="1:32">
      <c r="A87" s="100" t="s">
        <v>738</v>
      </c>
      <c r="B87" s="100" t="s">
        <v>968</v>
      </c>
      <c r="C87" s="100" t="s">
        <v>771</v>
      </c>
      <c r="D87" s="100"/>
      <c r="E87" s="100" t="s">
        <v>772</v>
      </c>
      <c r="F87" s="100"/>
      <c r="G87" s="105">
        <v>9999109</v>
      </c>
      <c r="H87" s="105">
        <v>1425365</v>
      </c>
      <c r="I87" s="100" t="s">
        <v>773</v>
      </c>
      <c r="J87" s="105">
        <v>2</v>
      </c>
      <c r="K87" s="105">
        <v>22</v>
      </c>
      <c r="L87" s="101">
        <v>175000</v>
      </c>
      <c r="M87" s="106">
        <v>44579</v>
      </c>
      <c r="N87" s="106">
        <v>44602</v>
      </c>
      <c r="O87" s="106">
        <v>44602</v>
      </c>
      <c r="P87" s="100" t="s">
        <v>1044</v>
      </c>
      <c r="Q87" s="100" t="s">
        <v>324</v>
      </c>
      <c r="R87" s="100" t="s">
        <v>1045</v>
      </c>
      <c r="S87" s="100" t="s">
        <v>1046</v>
      </c>
      <c r="T87" s="100" t="s">
        <v>978</v>
      </c>
      <c r="U87" s="100"/>
      <c r="V87" s="100"/>
      <c r="W87" s="100"/>
      <c r="X87" s="100"/>
      <c r="Y87" s="100" t="s">
        <v>779</v>
      </c>
      <c r="Z87" s="100" t="s">
        <v>780</v>
      </c>
      <c r="AA87" s="100" t="s">
        <v>781</v>
      </c>
      <c r="AB87" s="100" t="s">
        <v>782</v>
      </c>
      <c r="AC87" s="100" t="s">
        <v>972</v>
      </c>
      <c r="AD87" s="100" t="s">
        <v>976</v>
      </c>
      <c r="AE87" s="100"/>
      <c r="AF87" s="100"/>
    </row>
    <row r="88" spans="1:32">
      <c r="A88" s="100" t="s">
        <v>738</v>
      </c>
      <c r="B88" s="100" t="s">
        <v>979</v>
      </c>
      <c r="C88" s="100" t="s">
        <v>771</v>
      </c>
      <c r="D88" s="100"/>
      <c r="E88" s="100" t="s">
        <v>786</v>
      </c>
      <c r="F88" s="100"/>
      <c r="G88" s="105">
        <v>10002515</v>
      </c>
      <c r="H88" s="105">
        <v>18949026</v>
      </c>
      <c r="I88" s="100" t="s">
        <v>807</v>
      </c>
      <c r="J88" s="105">
        <v>2</v>
      </c>
      <c r="K88" s="105">
        <v>22</v>
      </c>
      <c r="L88" s="101">
        <v>-150000</v>
      </c>
      <c r="M88" s="106">
        <v>44593</v>
      </c>
      <c r="N88" s="106">
        <v>44593</v>
      </c>
      <c r="O88" s="106">
        <v>44610</v>
      </c>
      <c r="P88" s="100" t="s">
        <v>1047</v>
      </c>
      <c r="Q88" s="100" t="s">
        <v>993</v>
      </c>
      <c r="R88" s="100"/>
      <c r="S88" s="100">
        <v>0</v>
      </c>
      <c r="T88" s="100" t="s">
        <v>1048</v>
      </c>
      <c r="U88" s="100"/>
      <c r="V88" s="100"/>
      <c r="W88" s="100" t="s">
        <v>827</v>
      </c>
      <c r="X88" s="100"/>
      <c r="Y88" s="100" t="s">
        <v>779</v>
      </c>
      <c r="Z88" s="100" t="s">
        <v>780</v>
      </c>
      <c r="AA88" s="100" t="s">
        <v>983</v>
      </c>
      <c r="AB88" s="100" t="s">
        <v>964</v>
      </c>
      <c r="AC88" s="100" t="s">
        <v>984</v>
      </c>
      <c r="AD88" s="100" t="s">
        <v>1049</v>
      </c>
      <c r="AE88" s="100"/>
      <c r="AF88" s="100"/>
    </row>
    <row r="89" spans="1:32">
      <c r="A89" s="100" t="s">
        <v>738</v>
      </c>
      <c r="B89" s="100" t="s">
        <v>979</v>
      </c>
      <c r="C89" s="100" t="s">
        <v>771</v>
      </c>
      <c r="D89" s="100"/>
      <c r="E89" s="100" t="s">
        <v>786</v>
      </c>
      <c r="F89" s="100"/>
      <c r="G89" s="105">
        <v>10002515</v>
      </c>
      <c r="H89" s="105">
        <v>18949026</v>
      </c>
      <c r="I89" s="100" t="s">
        <v>807</v>
      </c>
      <c r="J89" s="105">
        <v>2</v>
      </c>
      <c r="K89" s="105">
        <v>22</v>
      </c>
      <c r="L89" s="101">
        <v>-109050</v>
      </c>
      <c r="M89" s="106">
        <v>44593</v>
      </c>
      <c r="N89" s="106">
        <v>44593</v>
      </c>
      <c r="O89" s="106">
        <v>44610</v>
      </c>
      <c r="P89" s="100" t="s">
        <v>1050</v>
      </c>
      <c r="Q89" s="100" t="s">
        <v>993</v>
      </c>
      <c r="R89" s="100"/>
      <c r="S89" s="100">
        <v>0</v>
      </c>
      <c r="T89" s="100" t="s">
        <v>1051</v>
      </c>
      <c r="U89" s="100"/>
      <c r="V89" s="100"/>
      <c r="W89" s="100" t="s">
        <v>827</v>
      </c>
      <c r="X89" s="100"/>
      <c r="Y89" s="100" t="s">
        <v>779</v>
      </c>
      <c r="Z89" s="100" t="s">
        <v>780</v>
      </c>
      <c r="AA89" s="100" t="s">
        <v>983</v>
      </c>
      <c r="AB89" s="100" t="s">
        <v>964</v>
      </c>
      <c r="AC89" s="100" t="s">
        <v>984</v>
      </c>
      <c r="AD89" s="100" t="s">
        <v>1052</v>
      </c>
      <c r="AE89" s="100"/>
      <c r="AF89" s="100"/>
    </row>
    <row r="90" spans="1:32">
      <c r="A90" s="100" t="s">
        <v>738</v>
      </c>
      <c r="B90" s="100" t="s">
        <v>979</v>
      </c>
      <c r="C90" s="100" t="s">
        <v>771</v>
      </c>
      <c r="D90" s="100"/>
      <c r="E90" s="100" t="s">
        <v>786</v>
      </c>
      <c r="F90" s="100"/>
      <c r="G90" s="105">
        <v>10002515</v>
      </c>
      <c r="H90" s="105">
        <v>18949026</v>
      </c>
      <c r="I90" s="100" t="s">
        <v>807</v>
      </c>
      <c r="J90" s="105">
        <v>2</v>
      </c>
      <c r="K90" s="105">
        <v>22</v>
      </c>
      <c r="L90" s="101">
        <v>-184257.08</v>
      </c>
      <c r="M90" s="106">
        <v>44593</v>
      </c>
      <c r="N90" s="106">
        <v>44593</v>
      </c>
      <c r="O90" s="106">
        <v>44610</v>
      </c>
      <c r="P90" s="100" t="s">
        <v>1053</v>
      </c>
      <c r="Q90" s="100" t="s">
        <v>993</v>
      </c>
      <c r="R90" s="100"/>
      <c r="S90" s="100">
        <v>0</v>
      </c>
      <c r="T90" s="100" t="s">
        <v>1054</v>
      </c>
      <c r="U90" s="100"/>
      <c r="V90" s="100"/>
      <c r="W90" s="100" t="s">
        <v>827</v>
      </c>
      <c r="X90" s="100"/>
      <c r="Y90" s="100" t="s">
        <v>779</v>
      </c>
      <c r="Z90" s="100" t="s">
        <v>780</v>
      </c>
      <c r="AA90" s="100" t="s">
        <v>983</v>
      </c>
      <c r="AB90" s="100" t="s">
        <v>964</v>
      </c>
      <c r="AC90" s="100" t="s">
        <v>984</v>
      </c>
      <c r="AD90" s="100" t="s">
        <v>1055</v>
      </c>
      <c r="AE90" s="100"/>
      <c r="AF90" s="100"/>
    </row>
    <row r="91" spans="1:32">
      <c r="A91" s="100" t="s">
        <v>738</v>
      </c>
      <c r="B91" s="100" t="s">
        <v>979</v>
      </c>
      <c r="C91" s="100" t="s">
        <v>771</v>
      </c>
      <c r="D91" s="100"/>
      <c r="E91" s="100" t="s">
        <v>772</v>
      </c>
      <c r="F91" s="100"/>
      <c r="G91" s="105">
        <v>9995789</v>
      </c>
      <c r="H91" s="105">
        <v>1424230</v>
      </c>
      <c r="I91" s="100" t="s">
        <v>773</v>
      </c>
      <c r="J91" s="105">
        <v>2</v>
      </c>
      <c r="K91" s="105">
        <v>22</v>
      </c>
      <c r="L91" s="101">
        <v>15000</v>
      </c>
      <c r="M91" s="106">
        <v>44571</v>
      </c>
      <c r="N91" s="106">
        <v>44595</v>
      </c>
      <c r="O91" s="106">
        <v>44595</v>
      </c>
      <c r="P91" s="100" t="s">
        <v>1056</v>
      </c>
      <c r="Q91" s="100" t="s">
        <v>421</v>
      </c>
      <c r="R91" s="100" t="s">
        <v>1057</v>
      </c>
      <c r="S91" s="100" t="s">
        <v>1058</v>
      </c>
      <c r="T91" s="100" t="s">
        <v>997</v>
      </c>
      <c r="U91" s="100"/>
      <c r="V91" s="100"/>
      <c r="W91" s="100"/>
      <c r="X91" s="100"/>
      <c r="Y91" s="100" t="s">
        <v>779</v>
      </c>
      <c r="Z91" s="100" t="s">
        <v>780</v>
      </c>
      <c r="AA91" s="100" t="s">
        <v>781</v>
      </c>
      <c r="AB91" s="100" t="s">
        <v>782</v>
      </c>
      <c r="AC91" s="100" t="s">
        <v>984</v>
      </c>
      <c r="AD91" s="100" t="s">
        <v>995</v>
      </c>
      <c r="AE91" s="100"/>
      <c r="AF91" s="100"/>
    </row>
    <row r="92" spans="1:32">
      <c r="A92" s="100" t="s">
        <v>738</v>
      </c>
      <c r="B92" s="100" t="s">
        <v>979</v>
      </c>
      <c r="C92" s="100" t="s">
        <v>771</v>
      </c>
      <c r="D92" s="100"/>
      <c r="E92" s="100" t="s">
        <v>772</v>
      </c>
      <c r="F92" s="100"/>
      <c r="G92" s="105">
        <v>9997141</v>
      </c>
      <c r="H92" s="105">
        <v>1424749</v>
      </c>
      <c r="I92" s="100" t="s">
        <v>773</v>
      </c>
      <c r="J92" s="105">
        <v>2</v>
      </c>
      <c r="K92" s="105">
        <v>22</v>
      </c>
      <c r="L92" s="101">
        <v>107812.38</v>
      </c>
      <c r="M92" s="106">
        <v>44591</v>
      </c>
      <c r="N92" s="106">
        <v>44599</v>
      </c>
      <c r="O92" s="106">
        <v>44599</v>
      </c>
      <c r="P92" s="100" t="s">
        <v>1059</v>
      </c>
      <c r="Q92" s="100" t="s">
        <v>1060</v>
      </c>
      <c r="R92" s="100" t="s">
        <v>1061</v>
      </c>
      <c r="S92" s="100" t="s">
        <v>1062</v>
      </c>
      <c r="T92" s="100" t="s">
        <v>1063</v>
      </c>
      <c r="U92" s="100"/>
      <c r="V92" s="100"/>
      <c r="W92" s="100"/>
      <c r="X92" s="100"/>
      <c r="Y92" s="100" t="s">
        <v>779</v>
      </c>
      <c r="Z92" s="100" t="s">
        <v>780</v>
      </c>
      <c r="AA92" s="100" t="s">
        <v>781</v>
      </c>
      <c r="AB92" s="100" t="s">
        <v>782</v>
      </c>
      <c r="AC92" s="100" t="s">
        <v>984</v>
      </c>
      <c r="AD92" s="100" t="s">
        <v>1064</v>
      </c>
      <c r="AE92" s="100"/>
      <c r="AF92" s="100"/>
    </row>
    <row r="93" spans="1:32">
      <c r="A93" s="102" t="s">
        <v>738</v>
      </c>
      <c r="B93" s="102" t="s">
        <v>979</v>
      </c>
      <c r="C93" s="102" t="s">
        <v>771</v>
      </c>
      <c r="D93" s="102"/>
      <c r="E93" s="102" t="s">
        <v>772</v>
      </c>
      <c r="F93" s="102"/>
      <c r="G93" s="105">
        <v>9999076</v>
      </c>
      <c r="H93" s="105">
        <v>1425333</v>
      </c>
      <c r="I93" s="100" t="s">
        <v>773</v>
      </c>
      <c r="J93" s="105">
        <v>2</v>
      </c>
      <c r="K93" s="105">
        <v>22</v>
      </c>
      <c r="L93" s="107">
        <v>316400</v>
      </c>
      <c r="M93" s="108">
        <v>43874</v>
      </c>
      <c r="N93" s="108">
        <v>44602</v>
      </c>
      <c r="O93" s="108">
        <v>44602</v>
      </c>
      <c r="P93" s="102" t="s">
        <v>1065</v>
      </c>
      <c r="Q93" s="102" t="s">
        <v>1066</v>
      </c>
      <c r="R93" s="102" t="s">
        <v>1067</v>
      </c>
      <c r="S93" s="102" t="s">
        <v>1068</v>
      </c>
      <c r="T93" s="102" t="s">
        <v>1069</v>
      </c>
      <c r="U93" s="102"/>
      <c r="V93" s="102"/>
      <c r="W93" s="102"/>
      <c r="X93" s="102"/>
      <c r="Y93" s="102" t="s">
        <v>779</v>
      </c>
      <c r="Z93" s="102" t="s">
        <v>780</v>
      </c>
      <c r="AA93" s="102" t="s">
        <v>781</v>
      </c>
      <c r="AB93" s="102" t="s">
        <v>782</v>
      </c>
      <c r="AC93" s="102" t="s">
        <v>984</v>
      </c>
      <c r="AD93" s="102" t="s">
        <v>1070</v>
      </c>
      <c r="AE93" s="102"/>
      <c r="AF93" s="102"/>
    </row>
    <row r="94" spans="1:32">
      <c r="A94" s="103" t="s">
        <v>740</v>
      </c>
      <c r="B94" s="103"/>
      <c r="C94" s="103"/>
      <c r="D94" s="103"/>
      <c r="E94" s="103"/>
      <c r="F94" s="103"/>
      <c r="G94" s="103"/>
      <c r="H94" s="103"/>
      <c r="I94" s="103"/>
      <c r="J94" s="103"/>
      <c r="K94" s="103"/>
      <c r="L94" s="111">
        <v>1328929.0900000001</v>
      </c>
      <c r="M94" s="103"/>
      <c r="N94" s="103"/>
      <c r="O94" s="103"/>
      <c r="P94" s="103"/>
      <c r="Q94" s="103"/>
      <c r="R94" s="103"/>
      <c r="S94" s="103"/>
      <c r="T94" s="103"/>
      <c r="U94" s="103"/>
      <c r="V94" s="103"/>
      <c r="W94" s="103"/>
      <c r="X94" s="103"/>
      <c r="Y94" s="103"/>
      <c r="Z94" s="103"/>
      <c r="AA94" s="103"/>
      <c r="AB94" s="103"/>
      <c r="AC94" s="103"/>
      <c r="AD94" s="103"/>
      <c r="AE94" s="103"/>
      <c r="AF94" s="103"/>
    </row>
    <row r="95" spans="1:32">
      <c r="G95" s="112"/>
      <c r="H95" s="112"/>
      <c r="J95" s="112"/>
      <c r="K95" s="112"/>
    </row>
    <row r="96" spans="1:32" ht="31.5">
      <c r="A96" s="97" t="s">
        <v>735</v>
      </c>
      <c r="B96" s="97" t="s">
        <v>688</v>
      </c>
      <c r="C96" s="97" t="s">
        <v>741</v>
      </c>
      <c r="D96" s="97" t="s">
        <v>742</v>
      </c>
      <c r="E96" s="97" t="s">
        <v>743</v>
      </c>
      <c r="F96" s="97" t="s">
        <v>744</v>
      </c>
      <c r="G96" s="97" t="s">
        <v>745</v>
      </c>
      <c r="H96" s="97" t="s">
        <v>746</v>
      </c>
      <c r="I96" s="97" t="s">
        <v>747</v>
      </c>
      <c r="J96" s="97" t="s">
        <v>748</v>
      </c>
      <c r="K96" s="97" t="s">
        <v>749</v>
      </c>
      <c r="L96" s="97" t="s">
        <v>750</v>
      </c>
      <c r="M96" s="97" t="s">
        <v>752</v>
      </c>
      <c r="N96" s="97" t="s">
        <v>10</v>
      </c>
      <c r="O96" s="97" t="s">
        <v>753</v>
      </c>
      <c r="P96" s="97" t="s">
        <v>754</v>
      </c>
      <c r="Q96" s="97" t="s">
        <v>755</v>
      </c>
      <c r="R96" s="97" t="s">
        <v>756</v>
      </c>
      <c r="S96" s="97" t="s">
        <v>757</v>
      </c>
      <c r="T96" s="97" t="s">
        <v>758</v>
      </c>
      <c r="U96" s="97" t="s">
        <v>759</v>
      </c>
      <c r="V96" s="97" t="s">
        <v>760</v>
      </c>
      <c r="W96" s="97" t="s">
        <v>761</v>
      </c>
      <c r="X96" s="97" t="s">
        <v>762</v>
      </c>
      <c r="Y96" s="97" t="s">
        <v>763</v>
      </c>
      <c r="Z96" s="97" t="s">
        <v>764</v>
      </c>
      <c r="AA96" s="97" t="s">
        <v>765</v>
      </c>
      <c r="AB96" s="97" t="s">
        <v>766</v>
      </c>
      <c r="AC96" s="97" t="s">
        <v>767</v>
      </c>
      <c r="AD96" s="97" t="s">
        <v>751</v>
      </c>
      <c r="AE96" s="97" t="s">
        <v>768</v>
      </c>
      <c r="AF96" s="97" t="s">
        <v>769</v>
      </c>
    </row>
    <row r="97" spans="1:32">
      <c r="A97" s="100" t="s">
        <v>736</v>
      </c>
      <c r="B97" s="100" t="s">
        <v>818</v>
      </c>
      <c r="C97" s="100" t="s">
        <v>771</v>
      </c>
      <c r="D97" s="100"/>
      <c r="E97" s="100" t="s">
        <v>772</v>
      </c>
      <c r="F97" s="100"/>
      <c r="G97" s="105">
        <v>10008474</v>
      </c>
      <c r="H97" s="105">
        <v>1426205</v>
      </c>
      <c r="I97" s="100" t="s">
        <v>773</v>
      </c>
      <c r="J97" s="105">
        <v>3</v>
      </c>
      <c r="K97" s="105">
        <v>22</v>
      </c>
      <c r="L97" s="101">
        <v>15000</v>
      </c>
      <c r="M97" s="106">
        <v>44624</v>
      </c>
      <c r="N97" s="106">
        <v>44630</v>
      </c>
      <c r="O97" s="106">
        <v>44630</v>
      </c>
      <c r="P97" s="100" t="s">
        <v>1071</v>
      </c>
      <c r="Q97" s="100" t="s">
        <v>1072</v>
      </c>
      <c r="R97" s="100" t="s">
        <v>1073</v>
      </c>
      <c r="S97" s="100" t="s">
        <v>1074</v>
      </c>
      <c r="T97" s="100" t="s">
        <v>826</v>
      </c>
      <c r="U97" s="100"/>
      <c r="V97" s="100"/>
      <c r="W97" s="100"/>
      <c r="X97" s="100"/>
      <c r="Y97" s="100" t="s">
        <v>779</v>
      </c>
      <c r="Z97" s="100" t="s">
        <v>780</v>
      </c>
      <c r="AA97" s="100" t="s">
        <v>781</v>
      </c>
      <c r="AB97" s="100" t="s">
        <v>782</v>
      </c>
      <c r="AC97" s="100" t="s">
        <v>823</v>
      </c>
      <c r="AD97" s="100" t="s">
        <v>824</v>
      </c>
      <c r="AE97" s="100"/>
      <c r="AF97" s="100"/>
    </row>
    <row r="98" spans="1:32">
      <c r="A98" s="100" t="s">
        <v>737</v>
      </c>
      <c r="B98" s="100" t="s">
        <v>843</v>
      </c>
      <c r="C98" s="100" t="s">
        <v>771</v>
      </c>
      <c r="D98" s="100"/>
      <c r="E98" s="100" t="s">
        <v>786</v>
      </c>
      <c r="F98" s="100"/>
      <c r="G98" s="105">
        <v>10002045</v>
      </c>
      <c r="H98" s="105">
        <v>18947722</v>
      </c>
      <c r="I98" s="100" t="s">
        <v>807</v>
      </c>
      <c r="J98" s="105">
        <v>3</v>
      </c>
      <c r="K98" s="105">
        <v>22</v>
      </c>
      <c r="L98" s="101">
        <v>-280000</v>
      </c>
      <c r="M98" s="106">
        <v>44651</v>
      </c>
      <c r="N98" s="106">
        <v>44651</v>
      </c>
      <c r="O98" s="106">
        <v>44609</v>
      </c>
      <c r="P98" s="100" t="s">
        <v>1075</v>
      </c>
      <c r="Q98" s="100" t="s">
        <v>886</v>
      </c>
      <c r="R98" s="100"/>
      <c r="S98" s="100">
        <v>0</v>
      </c>
      <c r="T98" s="100" t="s">
        <v>872</v>
      </c>
      <c r="U98" s="100"/>
      <c r="V98" s="100"/>
      <c r="W98" s="100" t="s">
        <v>827</v>
      </c>
      <c r="X98" s="100"/>
      <c r="Y98" s="100" t="s">
        <v>779</v>
      </c>
      <c r="Z98" s="100" t="s">
        <v>780</v>
      </c>
      <c r="AA98" s="100" t="s">
        <v>848</v>
      </c>
      <c r="AB98" s="100" t="s">
        <v>782</v>
      </c>
      <c r="AC98" s="100" t="s">
        <v>849</v>
      </c>
      <c r="AD98" s="100" t="s">
        <v>868</v>
      </c>
      <c r="AE98" s="100"/>
      <c r="AF98" s="100"/>
    </row>
    <row r="99" spans="1:32">
      <c r="A99" s="100" t="s">
        <v>737</v>
      </c>
      <c r="B99" s="100" t="s">
        <v>843</v>
      </c>
      <c r="C99" s="100" t="s">
        <v>771</v>
      </c>
      <c r="D99" s="100"/>
      <c r="E99" s="100" t="s">
        <v>786</v>
      </c>
      <c r="F99" s="100"/>
      <c r="G99" s="105">
        <v>10003269</v>
      </c>
      <c r="H99" s="105">
        <v>18952835</v>
      </c>
      <c r="I99" s="100" t="s">
        <v>807</v>
      </c>
      <c r="J99" s="105">
        <v>3</v>
      </c>
      <c r="K99" s="105">
        <v>22</v>
      </c>
      <c r="L99" s="101">
        <v>-122500</v>
      </c>
      <c r="M99" s="106">
        <v>44651</v>
      </c>
      <c r="N99" s="106">
        <v>44651</v>
      </c>
      <c r="O99" s="106">
        <v>44614</v>
      </c>
      <c r="P99" s="100" t="s">
        <v>1076</v>
      </c>
      <c r="Q99" s="100" t="s">
        <v>846</v>
      </c>
      <c r="R99" s="100"/>
      <c r="S99" s="100">
        <v>0</v>
      </c>
      <c r="T99" s="100" t="s">
        <v>1077</v>
      </c>
      <c r="U99" s="100"/>
      <c r="V99" s="100"/>
      <c r="W99" s="100" t="s">
        <v>827</v>
      </c>
      <c r="X99" s="100"/>
      <c r="Y99" s="100" t="s">
        <v>779</v>
      </c>
      <c r="Z99" s="100" t="s">
        <v>780</v>
      </c>
      <c r="AA99" s="100" t="s">
        <v>848</v>
      </c>
      <c r="AB99" s="100" t="s">
        <v>782</v>
      </c>
      <c r="AC99" s="100" t="s">
        <v>849</v>
      </c>
      <c r="AD99" s="100" t="s">
        <v>1078</v>
      </c>
      <c r="AE99" s="100"/>
      <c r="AF99" s="100"/>
    </row>
    <row r="100" spans="1:32">
      <c r="A100" s="100" t="s">
        <v>737</v>
      </c>
      <c r="B100" s="100" t="s">
        <v>888</v>
      </c>
      <c r="C100" s="100" t="s">
        <v>771</v>
      </c>
      <c r="D100" s="100"/>
      <c r="E100" s="100" t="s">
        <v>802</v>
      </c>
      <c r="F100" s="100"/>
      <c r="G100" s="105">
        <v>10008177</v>
      </c>
      <c r="H100" s="105">
        <v>3941282</v>
      </c>
      <c r="I100" s="100" t="s">
        <v>803</v>
      </c>
      <c r="J100" s="105">
        <v>3</v>
      </c>
      <c r="K100" s="105">
        <v>22</v>
      </c>
      <c r="L100" s="101">
        <v>5000</v>
      </c>
      <c r="M100" s="106">
        <v>44651</v>
      </c>
      <c r="N100" s="106">
        <v>44630</v>
      </c>
      <c r="O100" s="106">
        <v>44630</v>
      </c>
      <c r="P100" s="100" t="s">
        <v>804</v>
      </c>
      <c r="Q100" s="100" t="s">
        <v>1079</v>
      </c>
      <c r="R100" s="100"/>
      <c r="S100" s="100" t="s">
        <v>1080</v>
      </c>
      <c r="T100" s="100" t="s">
        <v>1081</v>
      </c>
      <c r="U100" s="100"/>
      <c r="V100" s="100"/>
      <c r="W100" s="100"/>
      <c r="X100" s="100"/>
      <c r="Y100" s="100" t="s">
        <v>779</v>
      </c>
      <c r="Z100" s="100" t="s">
        <v>780</v>
      </c>
      <c r="AA100" s="100" t="s">
        <v>782</v>
      </c>
      <c r="AB100" s="100" t="s">
        <v>782</v>
      </c>
      <c r="AC100" s="100" t="s">
        <v>895</v>
      </c>
      <c r="AD100" s="100"/>
      <c r="AE100" s="100"/>
      <c r="AF100" s="100"/>
    </row>
    <row r="101" spans="1:32">
      <c r="A101" s="100" t="s">
        <v>737</v>
      </c>
      <c r="B101" s="100" t="s">
        <v>888</v>
      </c>
      <c r="C101" s="100" t="s">
        <v>771</v>
      </c>
      <c r="D101" s="100"/>
      <c r="E101" s="100" t="s">
        <v>786</v>
      </c>
      <c r="F101" s="100"/>
      <c r="G101" s="105">
        <v>10002450</v>
      </c>
      <c r="H101" s="105">
        <v>18949005</v>
      </c>
      <c r="I101" s="100" t="s">
        <v>807</v>
      </c>
      <c r="J101" s="105">
        <v>3</v>
      </c>
      <c r="K101" s="105">
        <v>22</v>
      </c>
      <c r="L101" s="101">
        <v>-225000</v>
      </c>
      <c r="M101" s="106">
        <v>44651</v>
      </c>
      <c r="N101" s="106">
        <v>44651</v>
      </c>
      <c r="O101" s="106">
        <v>44610</v>
      </c>
      <c r="P101" s="100" t="s">
        <v>1082</v>
      </c>
      <c r="Q101" s="100" t="s">
        <v>1083</v>
      </c>
      <c r="R101" s="100"/>
      <c r="S101" s="100">
        <v>0</v>
      </c>
      <c r="T101" s="100" t="s">
        <v>894</v>
      </c>
      <c r="U101" s="100"/>
      <c r="V101" s="100"/>
      <c r="W101" s="100"/>
      <c r="X101" s="100"/>
      <c r="Y101" s="100" t="s">
        <v>779</v>
      </c>
      <c r="Z101" s="100" t="s">
        <v>780</v>
      </c>
      <c r="AA101" s="100" t="s">
        <v>1084</v>
      </c>
      <c r="AB101" s="100" t="s">
        <v>782</v>
      </c>
      <c r="AC101" s="100" t="s">
        <v>895</v>
      </c>
      <c r="AD101" s="100" t="s">
        <v>889</v>
      </c>
      <c r="AE101" s="100"/>
      <c r="AF101" s="100"/>
    </row>
    <row r="102" spans="1:32">
      <c r="A102" s="100" t="s">
        <v>737</v>
      </c>
      <c r="B102" s="100" t="s">
        <v>888</v>
      </c>
      <c r="C102" s="100" t="s">
        <v>771</v>
      </c>
      <c r="D102" s="100"/>
      <c r="E102" s="100" t="s">
        <v>786</v>
      </c>
      <c r="F102" s="100"/>
      <c r="G102" s="105">
        <v>10002450</v>
      </c>
      <c r="H102" s="105">
        <v>18949005</v>
      </c>
      <c r="I102" s="100" t="s">
        <v>807</v>
      </c>
      <c r="J102" s="105">
        <v>3</v>
      </c>
      <c r="K102" s="105">
        <v>22</v>
      </c>
      <c r="L102" s="101">
        <v>-202500</v>
      </c>
      <c r="M102" s="106">
        <v>44651</v>
      </c>
      <c r="N102" s="106">
        <v>44651</v>
      </c>
      <c r="O102" s="106">
        <v>44610</v>
      </c>
      <c r="P102" s="100" t="s">
        <v>1085</v>
      </c>
      <c r="Q102" s="100" t="s">
        <v>1083</v>
      </c>
      <c r="R102" s="100"/>
      <c r="S102" s="100">
        <v>0</v>
      </c>
      <c r="T102" s="100" t="s">
        <v>900</v>
      </c>
      <c r="U102" s="100"/>
      <c r="V102" s="100"/>
      <c r="W102" s="100"/>
      <c r="X102" s="100"/>
      <c r="Y102" s="100" t="s">
        <v>779</v>
      </c>
      <c r="Z102" s="100" t="s">
        <v>780</v>
      </c>
      <c r="AA102" s="100" t="s">
        <v>1084</v>
      </c>
      <c r="AB102" s="100" t="s">
        <v>782</v>
      </c>
      <c r="AC102" s="100" t="s">
        <v>895</v>
      </c>
      <c r="AD102" s="100" t="s">
        <v>896</v>
      </c>
      <c r="AE102" s="100"/>
      <c r="AF102" s="100"/>
    </row>
    <row r="103" spans="1:32">
      <c r="A103" s="100" t="s">
        <v>737</v>
      </c>
      <c r="B103" s="100" t="s">
        <v>901</v>
      </c>
      <c r="C103" s="100" t="s">
        <v>771</v>
      </c>
      <c r="D103" s="100"/>
      <c r="E103" s="100" t="s">
        <v>786</v>
      </c>
      <c r="F103" s="100"/>
      <c r="G103" s="105">
        <v>10003302</v>
      </c>
      <c r="H103" s="105">
        <v>18952907</v>
      </c>
      <c r="I103" s="100" t="s">
        <v>807</v>
      </c>
      <c r="J103" s="105">
        <v>3</v>
      </c>
      <c r="K103" s="105">
        <v>22</v>
      </c>
      <c r="L103" s="101">
        <v>-512478.75</v>
      </c>
      <c r="M103" s="106">
        <v>44651</v>
      </c>
      <c r="N103" s="106">
        <v>44651</v>
      </c>
      <c r="O103" s="106">
        <v>44614</v>
      </c>
      <c r="P103" s="100" t="s">
        <v>1086</v>
      </c>
      <c r="Q103" s="100" t="s">
        <v>1086</v>
      </c>
      <c r="R103" s="100"/>
      <c r="S103" s="100">
        <v>0</v>
      </c>
      <c r="T103" s="100" t="s">
        <v>1087</v>
      </c>
      <c r="U103" s="100"/>
      <c r="V103" s="100"/>
      <c r="W103" s="100"/>
      <c r="X103" s="100"/>
      <c r="Y103" s="100" t="s">
        <v>779</v>
      </c>
      <c r="Z103" s="100" t="s">
        <v>780</v>
      </c>
      <c r="AA103" s="100" t="s">
        <v>1088</v>
      </c>
      <c r="AB103" s="100" t="s">
        <v>782</v>
      </c>
      <c r="AC103" s="100" t="s">
        <v>907</v>
      </c>
      <c r="AD103" s="100" t="s">
        <v>1089</v>
      </c>
      <c r="AE103" s="100"/>
      <c r="AF103" s="100"/>
    </row>
    <row r="104" spans="1:32">
      <c r="A104" s="100" t="s">
        <v>737</v>
      </c>
      <c r="B104" s="100" t="s">
        <v>901</v>
      </c>
      <c r="C104" s="100" t="s">
        <v>771</v>
      </c>
      <c r="D104" s="100"/>
      <c r="E104" s="100" t="s">
        <v>786</v>
      </c>
      <c r="F104" s="100"/>
      <c r="G104" s="105">
        <v>10003306</v>
      </c>
      <c r="H104" s="105">
        <v>18952908</v>
      </c>
      <c r="I104" s="100" t="s">
        <v>807</v>
      </c>
      <c r="J104" s="105">
        <v>3</v>
      </c>
      <c r="K104" s="105">
        <v>22</v>
      </c>
      <c r="L104" s="101">
        <v>-248433</v>
      </c>
      <c r="M104" s="106">
        <v>44651</v>
      </c>
      <c r="N104" s="106">
        <v>44651</v>
      </c>
      <c r="O104" s="106">
        <v>44614</v>
      </c>
      <c r="P104" s="100" t="s">
        <v>1090</v>
      </c>
      <c r="Q104" s="100" t="s">
        <v>1091</v>
      </c>
      <c r="R104" s="100"/>
      <c r="S104" s="100">
        <v>0</v>
      </c>
      <c r="T104" s="100" t="s">
        <v>1092</v>
      </c>
      <c r="U104" s="100"/>
      <c r="V104" s="100"/>
      <c r="W104" s="100"/>
      <c r="X104" s="100"/>
      <c r="Y104" s="100" t="s">
        <v>779</v>
      </c>
      <c r="Z104" s="100" t="s">
        <v>780</v>
      </c>
      <c r="AA104" s="100" t="s">
        <v>1088</v>
      </c>
      <c r="AB104" s="100" t="s">
        <v>782</v>
      </c>
      <c r="AC104" s="100" t="s">
        <v>907</v>
      </c>
      <c r="AD104" s="100" t="s">
        <v>1093</v>
      </c>
      <c r="AE104" s="100"/>
      <c r="AF104" s="100"/>
    </row>
    <row r="105" spans="1:32">
      <c r="A105" s="100" t="s">
        <v>737</v>
      </c>
      <c r="B105" s="100" t="s">
        <v>901</v>
      </c>
      <c r="C105" s="100" t="s">
        <v>771</v>
      </c>
      <c r="D105" s="100"/>
      <c r="E105" s="100" t="s">
        <v>786</v>
      </c>
      <c r="F105" s="100"/>
      <c r="G105" s="105">
        <v>10003348</v>
      </c>
      <c r="H105" s="105">
        <v>18953424</v>
      </c>
      <c r="I105" s="100" t="s">
        <v>807</v>
      </c>
      <c r="J105" s="105">
        <v>3</v>
      </c>
      <c r="K105" s="105">
        <v>22</v>
      </c>
      <c r="L105" s="101">
        <v>-125000</v>
      </c>
      <c r="M105" s="106">
        <v>44651</v>
      </c>
      <c r="N105" s="106">
        <v>44651</v>
      </c>
      <c r="O105" s="106">
        <v>44614</v>
      </c>
      <c r="P105" s="100" t="s">
        <v>1094</v>
      </c>
      <c r="Q105" s="100" t="s">
        <v>1095</v>
      </c>
      <c r="R105" s="100"/>
      <c r="S105" s="100">
        <v>0</v>
      </c>
      <c r="T105" s="100" t="s">
        <v>1087</v>
      </c>
      <c r="U105" s="100"/>
      <c r="V105" s="100"/>
      <c r="W105" s="100" t="s">
        <v>811</v>
      </c>
      <c r="X105" s="100"/>
      <c r="Y105" s="100" t="s">
        <v>779</v>
      </c>
      <c r="Z105" s="100" t="s">
        <v>780</v>
      </c>
      <c r="AA105" s="100" t="s">
        <v>1088</v>
      </c>
      <c r="AB105" s="100" t="s">
        <v>782</v>
      </c>
      <c r="AC105" s="100" t="s">
        <v>907</v>
      </c>
      <c r="AD105" s="100" t="s">
        <v>1096</v>
      </c>
      <c r="AE105" s="100"/>
      <c r="AF105" s="100"/>
    </row>
    <row r="106" spans="1:32">
      <c r="A106" s="100" t="s">
        <v>739</v>
      </c>
      <c r="B106" s="100" t="s">
        <v>770</v>
      </c>
      <c r="C106" s="100" t="s">
        <v>771</v>
      </c>
      <c r="D106" s="100"/>
      <c r="E106" s="100" t="s">
        <v>772</v>
      </c>
      <c r="F106" s="100"/>
      <c r="G106" s="105">
        <v>10009332</v>
      </c>
      <c r="H106" s="105">
        <v>1427049</v>
      </c>
      <c r="I106" s="100" t="s">
        <v>773</v>
      </c>
      <c r="J106" s="105">
        <v>3</v>
      </c>
      <c r="K106" s="105">
        <v>22</v>
      </c>
      <c r="L106" s="101">
        <v>271585</v>
      </c>
      <c r="M106" s="106">
        <v>44593</v>
      </c>
      <c r="N106" s="106">
        <v>44630</v>
      </c>
      <c r="O106" s="106">
        <v>44630</v>
      </c>
      <c r="P106" s="100" t="s">
        <v>1097</v>
      </c>
      <c r="Q106" s="100" t="s">
        <v>243</v>
      </c>
      <c r="R106" s="100" t="s">
        <v>1098</v>
      </c>
      <c r="S106" s="100" t="s">
        <v>1099</v>
      </c>
      <c r="T106" s="100" t="s">
        <v>1100</v>
      </c>
      <c r="U106" s="100"/>
      <c r="V106" s="100"/>
      <c r="W106" s="100"/>
      <c r="X106" s="100"/>
      <c r="Y106" s="100" t="s">
        <v>779</v>
      </c>
      <c r="Z106" s="100" t="s">
        <v>780</v>
      </c>
      <c r="AA106" s="100" t="s">
        <v>781</v>
      </c>
      <c r="AB106" s="100" t="s">
        <v>782</v>
      </c>
      <c r="AC106" s="100" t="s">
        <v>783</v>
      </c>
      <c r="AD106" s="100" t="s">
        <v>1101</v>
      </c>
      <c r="AE106" s="100"/>
      <c r="AF106" s="100"/>
    </row>
    <row r="107" spans="1:32">
      <c r="A107" s="100" t="s">
        <v>739</v>
      </c>
      <c r="B107" s="100" t="s">
        <v>770</v>
      </c>
      <c r="C107" s="100" t="s">
        <v>771</v>
      </c>
      <c r="D107" s="100"/>
      <c r="E107" s="100" t="s">
        <v>772</v>
      </c>
      <c r="F107" s="100"/>
      <c r="G107" s="105">
        <v>10009584</v>
      </c>
      <c r="H107" s="105">
        <v>1427301</v>
      </c>
      <c r="I107" s="100" t="s">
        <v>773</v>
      </c>
      <c r="J107" s="105">
        <v>3</v>
      </c>
      <c r="K107" s="105">
        <v>22</v>
      </c>
      <c r="L107" s="101">
        <v>303766.65999999997</v>
      </c>
      <c r="M107" s="106">
        <v>44595</v>
      </c>
      <c r="N107" s="106">
        <v>44630</v>
      </c>
      <c r="O107" s="106">
        <v>44630</v>
      </c>
      <c r="P107" s="100" t="s">
        <v>1102</v>
      </c>
      <c r="Q107" s="100" t="s">
        <v>1103</v>
      </c>
      <c r="R107" s="100" t="s">
        <v>1104</v>
      </c>
      <c r="S107" s="100" t="s">
        <v>1099</v>
      </c>
      <c r="T107" s="100" t="s">
        <v>1105</v>
      </c>
      <c r="U107" s="100"/>
      <c r="V107" s="100"/>
      <c r="W107" s="100"/>
      <c r="X107" s="100"/>
      <c r="Y107" s="100" t="s">
        <v>779</v>
      </c>
      <c r="Z107" s="100" t="s">
        <v>780</v>
      </c>
      <c r="AA107" s="100" t="s">
        <v>781</v>
      </c>
      <c r="AB107" s="100" t="s">
        <v>782</v>
      </c>
      <c r="AC107" s="100" t="s">
        <v>783</v>
      </c>
      <c r="AD107" s="100" t="s">
        <v>1106</v>
      </c>
      <c r="AE107" s="100"/>
      <c r="AF107" s="100"/>
    </row>
    <row r="108" spans="1:32">
      <c r="A108" s="100" t="s">
        <v>739</v>
      </c>
      <c r="B108" s="100" t="s">
        <v>770</v>
      </c>
      <c r="C108" s="100" t="s">
        <v>771</v>
      </c>
      <c r="D108" s="100"/>
      <c r="E108" s="100" t="s">
        <v>772</v>
      </c>
      <c r="F108" s="100"/>
      <c r="G108" s="105">
        <v>10016916</v>
      </c>
      <c r="H108" s="105">
        <v>1430168</v>
      </c>
      <c r="I108" s="100" t="s">
        <v>773</v>
      </c>
      <c r="J108" s="105">
        <v>3</v>
      </c>
      <c r="K108" s="105">
        <v>22</v>
      </c>
      <c r="L108" s="101">
        <v>39367.5</v>
      </c>
      <c r="M108" s="106">
        <v>44621</v>
      </c>
      <c r="N108" s="106">
        <v>44644</v>
      </c>
      <c r="O108" s="106">
        <v>44644</v>
      </c>
      <c r="P108" s="100" t="s">
        <v>775</v>
      </c>
      <c r="Q108" s="100" t="s">
        <v>236</v>
      </c>
      <c r="R108" s="100" t="s">
        <v>1107</v>
      </c>
      <c r="S108" s="100" t="s">
        <v>777</v>
      </c>
      <c r="T108" s="100" t="s">
        <v>778</v>
      </c>
      <c r="U108" s="100"/>
      <c r="V108" s="100"/>
      <c r="W108" s="100"/>
      <c r="X108" s="100"/>
      <c r="Y108" s="100" t="s">
        <v>779</v>
      </c>
      <c r="Z108" s="100" t="s">
        <v>780</v>
      </c>
      <c r="AA108" s="100" t="s">
        <v>781</v>
      </c>
      <c r="AB108" s="100" t="s">
        <v>782</v>
      </c>
      <c r="AC108" s="100" t="s">
        <v>783</v>
      </c>
      <c r="AD108" s="100" t="s">
        <v>774</v>
      </c>
      <c r="AE108" s="100"/>
      <c r="AF108" s="100"/>
    </row>
    <row r="109" spans="1:32">
      <c r="A109" s="100" t="s">
        <v>739</v>
      </c>
      <c r="B109" s="100" t="s">
        <v>770</v>
      </c>
      <c r="C109" s="100" t="s">
        <v>771</v>
      </c>
      <c r="D109" s="100"/>
      <c r="E109" s="100" t="s">
        <v>786</v>
      </c>
      <c r="F109" s="100"/>
      <c r="G109" s="105">
        <v>9999056</v>
      </c>
      <c r="H109" s="105">
        <v>18899426</v>
      </c>
      <c r="I109" s="100" t="s">
        <v>807</v>
      </c>
      <c r="J109" s="105">
        <v>3</v>
      </c>
      <c r="K109" s="105">
        <v>22</v>
      </c>
      <c r="L109" s="101">
        <v>-2492400</v>
      </c>
      <c r="M109" s="106">
        <v>44651</v>
      </c>
      <c r="N109" s="106">
        <v>44651</v>
      </c>
      <c r="O109" s="106">
        <v>44602</v>
      </c>
      <c r="P109" s="100" t="s">
        <v>1108</v>
      </c>
      <c r="Q109" s="100" t="s">
        <v>1109</v>
      </c>
      <c r="R109" s="100"/>
      <c r="S109" s="100">
        <v>0</v>
      </c>
      <c r="T109" s="100" t="s">
        <v>1110</v>
      </c>
      <c r="U109" s="100"/>
      <c r="V109" s="100"/>
      <c r="W109" s="100"/>
      <c r="X109" s="100"/>
      <c r="Y109" s="100" t="s">
        <v>779</v>
      </c>
      <c r="Z109" s="100" t="s">
        <v>780</v>
      </c>
      <c r="AA109" s="100" t="s">
        <v>1111</v>
      </c>
      <c r="AB109" s="100" t="s">
        <v>1112</v>
      </c>
      <c r="AC109" s="100" t="s">
        <v>783</v>
      </c>
      <c r="AD109" s="100" t="s">
        <v>1113</v>
      </c>
      <c r="AE109" s="100"/>
      <c r="AF109" s="100"/>
    </row>
    <row r="110" spans="1:32">
      <c r="A110" s="100" t="s">
        <v>739</v>
      </c>
      <c r="B110" s="100" t="s">
        <v>770</v>
      </c>
      <c r="C110" s="100" t="s">
        <v>771</v>
      </c>
      <c r="D110" s="100"/>
      <c r="E110" s="100" t="s">
        <v>786</v>
      </c>
      <c r="F110" s="100"/>
      <c r="G110" s="105">
        <v>10003819</v>
      </c>
      <c r="H110" s="105">
        <v>18955594</v>
      </c>
      <c r="I110" s="100" t="s">
        <v>807</v>
      </c>
      <c r="J110" s="105">
        <v>3</v>
      </c>
      <c r="K110" s="105">
        <v>22</v>
      </c>
      <c r="L110" s="101">
        <v>-437400</v>
      </c>
      <c r="M110" s="106">
        <v>44651</v>
      </c>
      <c r="N110" s="106">
        <v>44651</v>
      </c>
      <c r="O110" s="106">
        <v>44615</v>
      </c>
      <c r="P110" s="100" t="s">
        <v>1114</v>
      </c>
      <c r="Q110" s="100" t="s">
        <v>1115</v>
      </c>
      <c r="R110" s="100"/>
      <c r="S110" s="100">
        <v>0</v>
      </c>
      <c r="T110" s="100" t="s">
        <v>1116</v>
      </c>
      <c r="U110" s="100"/>
      <c r="V110" s="100"/>
      <c r="W110" s="100"/>
      <c r="X110" s="100"/>
      <c r="Y110" s="100" t="s">
        <v>779</v>
      </c>
      <c r="Z110" s="100" t="s">
        <v>780</v>
      </c>
      <c r="AA110" s="100" t="s">
        <v>1111</v>
      </c>
      <c r="AB110" s="100" t="s">
        <v>782</v>
      </c>
      <c r="AC110" s="100" t="s">
        <v>783</v>
      </c>
      <c r="AD110" s="100" t="s">
        <v>1117</v>
      </c>
      <c r="AE110" s="100"/>
      <c r="AF110" s="100"/>
    </row>
    <row r="111" spans="1:32">
      <c r="A111" s="100" t="s">
        <v>739</v>
      </c>
      <c r="B111" s="100" t="s">
        <v>770</v>
      </c>
      <c r="C111" s="100" t="s">
        <v>771</v>
      </c>
      <c r="D111" s="100"/>
      <c r="E111" s="100" t="s">
        <v>786</v>
      </c>
      <c r="F111" s="100"/>
      <c r="G111" s="105">
        <v>10003975</v>
      </c>
      <c r="H111" s="105">
        <v>18955659</v>
      </c>
      <c r="I111" s="100" t="s">
        <v>807</v>
      </c>
      <c r="J111" s="105">
        <v>3</v>
      </c>
      <c r="K111" s="105">
        <v>22</v>
      </c>
      <c r="L111" s="101">
        <v>750000</v>
      </c>
      <c r="M111" s="106">
        <v>44651</v>
      </c>
      <c r="N111" s="106">
        <v>44651</v>
      </c>
      <c r="O111" s="106">
        <v>44615</v>
      </c>
      <c r="P111" s="100" t="s">
        <v>1118</v>
      </c>
      <c r="Q111" s="100" t="s">
        <v>1119</v>
      </c>
      <c r="R111" s="100"/>
      <c r="S111" s="100">
        <v>0</v>
      </c>
      <c r="T111" s="100" t="s">
        <v>1120</v>
      </c>
      <c r="U111" s="100"/>
      <c r="V111" s="100"/>
      <c r="W111" s="100" t="s">
        <v>827</v>
      </c>
      <c r="X111" s="100"/>
      <c r="Y111" s="100" t="s">
        <v>779</v>
      </c>
      <c r="Z111" s="100" t="s">
        <v>780</v>
      </c>
      <c r="AA111" s="100" t="s">
        <v>1111</v>
      </c>
      <c r="AB111" s="100" t="s">
        <v>782</v>
      </c>
      <c r="AC111" s="100" t="s">
        <v>783</v>
      </c>
      <c r="AD111" s="100" t="s">
        <v>1121</v>
      </c>
      <c r="AE111" s="100"/>
      <c r="AF111" s="100"/>
    </row>
    <row r="112" spans="1:32">
      <c r="A112" s="100" t="s">
        <v>739</v>
      </c>
      <c r="B112" s="100" t="s">
        <v>770</v>
      </c>
      <c r="C112" s="100" t="s">
        <v>771</v>
      </c>
      <c r="D112" s="100"/>
      <c r="E112" s="100" t="s">
        <v>786</v>
      </c>
      <c r="F112" s="100"/>
      <c r="G112" s="105">
        <v>10004050</v>
      </c>
      <c r="H112" s="105">
        <v>18956820</v>
      </c>
      <c r="I112" s="100" t="s">
        <v>807</v>
      </c>
      <c r="J112" s="105">
        <v>3</v>
      </c>
      <c r="K112" s="105">
        <v>22</v>
      </c>
      <c r="L112" s="101">
        <v>-342100</v>
      </c>
      <c r="M112" s="106">
        <v>44651</v>
      </c>
      <c r="N112" s="106">
        <v>44651</v>
      </c>
      <c r="O112" s="106">
        <v>44615</v>
      </c>
      <c r="P112" s="100" t="s">
        <v>1122</v>
      </c>
      <c r="Q112" s="100" t="s">
        <v>1123</v>
      </c>
      <c r="R112" s="100"/>
      <c r="S112" s="100">
        <v>0</v>
      </c>
      <c r="T112" s="100" t="s">
        <v>1124</v>
      </c>
      <c r="U112" s="100"/>
      <c r="V112" s="100"/>
      <c r="W112" s="100"/>
      <c r="X112" s="100"/>
      <c r="Y112" s="100" t="s">
        <v>779</v>
      </c>
      <c r="Z112" s="100" t="s">
        <v>780</v>
      </c>
      <c r="AA112" s="100" t="s">
        <v>1111</v>
      </c>
      <c r="AB112" s="100" t="s">
        <v>1112</v>
      </c>
      <c r="AC112" s="100" t="s">
        <v>783</v>
      </c>
      <c r="AD112" s="100" t="s">
        <v>1125</v>
      </c>
      <c r="AE112" s="100"/>
      <c r="AF112" s="100"/>
    </row>
    <row r="113" spans="1:32">
      <c r="A113" s="100" t="s">
        <v>739</v>
      </c>
      <c r="B113" s="100" t="s">
        <v>770</v>
      </c>
      <c r="C113" s="100" t="s">
        <v>771</v>
      </c>
      <c r="D113" s="100"/>
      <c r="E113" s="100" t="s">
        <v>786</v>
      </c>
      <c r="F113" s="100"/>
      <c r="G113" s="105">
        <v>10005784</v>
      </c>
      <c r="H113" s="105">
        <v>18958057</v>
      </c>
      <c r="I113" s="100" t="s">
        <v>807</v>
      </c>
      <c r="J113" s="105">
        <v>3</v>
      </c>
      <c r="K113" s="105">
        <v>22</v>
      </c>
      <c r="L113" s="101">
        <v>-500000</v>
      </c>
      <c r="M113" s="106">
        <v>44651</v>
      </c>
      <c r="N113" s="106">
        <v>44651</v>
      </c>
      <c r="O113" s="106">
        <v>44621</v>
      </c>
      <c r="P113" s="100" t="s">
        <v>1126</v>
      </c>
      <c r="Q113" s="100" t="s">
        <v>1127</v>
      </c>
      <c r="R113" s="100"/>
      <c r="S113" s="100">
        <v>0</v>
      </c>
      <c r="T113" s="100" t="s">
        <v>1120</v>
      </c>
      <c r="U113" s="100"/>
      <c r="V113" s="100"/>
      <c r="W113" s="100" t="s">
        <v>827</v>
      </c>
      <c r="X113" s="100"/>
      <c r="Y113" s="100" t="s">
        <v>779</v>
      </c>
      <c r="Z113" s="100" t="s">
        <v>780</v>
      </c>
      <c r="AA113" s="100" t="s">
        <v>1111</v>
      </c>
      <c r="AB113" s="100" t="s">
        <v>1128</v>
      </c>
      <c r="AC113" s="100" t="s">
        <v>783</v>
      </c>
      <c r="AD113" s="100" t="s">
        <v>1121</v>
      </c>
      <c r="AE113" s="100"/>
      <c r="AF113" s="100"/>
    </row>
    <row r="114" spans="1:32">
      <c r="A114" s="100" t="s">
        <v>739</v>
      </c>
      <c r="B114" s="100" t="s">
        <v>785</v>
      </c>
      <c r="C114" s="100" t="s">
        <v>771</v>
      </c>
      <c r="D114" s="100"/>
      <c r="E114" s="100" t="s">
        <v>772</v>
      </c>
      <c r="F114" s="100"/>
      <c r="G114" s="105">
        <v>10009386</v>
      </c>
      <c r="H114" s="105">
        <v>1427103</v>
      </c>
      <c r="I114" s="100" t="s">
        <v>773</v>
      </c>
      <c r="J114" s="105">
        <v>3</v>
      </c>
      <c r="K114" s="105">
        <v>22</v>
      </c>
      <c r="L114" s="101">
        <v>200000</v>
      </c>
      <c r="M114" s="106">
        <v>44608</v>
      </c>
      <c r="N114" s="106">
        <v>44630</v>
      </c>
      <c r="O114" s="106">
        <v>44630</v>
      </c>
      <c r="P114" s="100" t="s">
        <v>1023</v>
      </c>
      <c r="Q114" s="100" t="s">
        <v>336</v>
      </c>
      <c r="R114" s="100" t="s">
        <v>1129</v>
      </c>
      <c r="S114" s="100" t="s">
        <v>1025</v>
      </c>
      <c r="T114" s="100" t="s">
        <v>1026</v>
      </c>
      <c r="U114" s="100"/>
      <c r="V114" s="100"/>
      <c r="W114" s="100"/>
      <c r="X114" s="100"/>
      <c r="Y114" s="100" t="s">
        <v>779</v>
      </c>
      <c r="Z114" s="100" t="s">
        <v>780</v>
      </c>
      <c r="AA114" s="100" t="s">
        <v>781</v>
      </c>
      <c r="AB114" s="100" t="s">
        <v>782</v>
      </c>
      <c r="AC114" s="100" t="s">
        <v>794</v>
      </c>
      <c r="AD114" s="100" t="s">
        <v>1027</v>
      </c>
      <c r="AE114" s="100"/>
      <c r="AF114" s="100"/>
    </row>
    <row r="115" spans="1:32">
      <c r="A115" s="100" t="s">
        <v>739</v>
      </c>
      <c r="B115" s="100" t="s">
        <v>785</v>
      </c>
      <c r="C115" s="100" t="s">
        <v>771</v>
      </c>
      <c r="D115" s="100"/>
      <c r="E115" s="100" t="s">
        <v>772</v>
      </c>
      <c r="F115" s="100"/>
      <c r="G115" s="105">
        <v>10009409</v>
      </c>
      <c r="H115" s="105">
        <v>1427126</v>
      </c>
      <c r="I115" s="100" t="s">
        <v>773</v>
      </c>
      <c r="J115" s="105">
        <v>3</v>
      </c>
      <c r="K115" s="105">
        <v>22</v>
      </c>
      <c r="L115" s="101">
        <v>925714.28</v>
      </c>
      <c r="M115" s="106">
        <v>44607</v>
      </c>
      <c r="N115" s="106">
        <v>44630</v>
      </c>
      <c r="O115" s="106">
        <v>44630</v>
      </c>
      <c r="P115" s="100" t="s">
        <v>1023</v>
      </c>
      <c r="Q115" s="100" t="s">
        <v>336</v>
      </c>
      <c r="R115" s="100" t="s">
        <v>1130</v>
      </c>
      <c r="S115" s="100" t="s">
        <v>1025</v>
      </c>
      <c r="T115" s="100" t="s">
        <v>1026</v>
      </c>
      <c r="U115" s="100"/>
      <c r="V115" s="100"/>
      <c r="W115" s="100"/>
      <c r="X115" s="100"/>
      <c r="Y115" s="100" t="s">
        <v>779</v>
      </c>
      <c r="Z115" s="100" t="s">
        <v>780</v>
      </c>
      <c r="AA115" s="100" t="s">
        <v>781</v>
      </c>
      <c r="AB115" s="100" t="s">
        <v>782</v>
      </c>
      <c r="AC115" s="100" t="s">
        <v>794</v>
      </c>
      <c r="AD115" s="100" t="s">
        <v>1027</v>
      </c>
      <c r="AE115" s="100"/>
      <c r="AF115" s="100"/>
    </row>
    <row r="116" spans="1:32">
      <c r="A116" s="100" t="s">
        <v>739</v>
      </c>
      <c r="B116" s="100" t="s">
        <v>785</v>
      </c>
      <c r="C116" s="100" t="s">
        <v>771</v>
      </c>
      <c r="D116" s="100"/>
      <c r="E116" s="100" t="s">
        <v>772</v>
      </c>
      <c r="F116" s="100"/>
      <c r="G116" s="105">
        <v>10018236</v>
      </c>
      <c r="H116" s="105">
        <v>1430579</v>
      </c>
      <c r="I116" s="100" t="s">
        <v>773</v>
      </c>
      <c r="J116" s="105">
        <v>3</v>
      </c>
      <c r="K116" s="105">
        <v>22</v>
      </c>
      <c r="L116" s="101">
        <v>925714.28</v>
      </c>
      <c r="M116" s="106">
        <v>44627</v>
      </c>
      <c r="N116" s="106">
        <v>44645</v>
      </c>
      <c r="O116" s="106">
        <v>44645</v>
      </c>
      <c r="P116" s="100" t="s">
        <v>1023</v>
      </c>
      <c r="Q116" s="100" t="s">
        <v>336</v>
      </c>
      <c r="R116" s="100" t="s">
        <v>1131</v>
      </c>
      <c r="S116" s="100" t="s">
        <v>1025</v>
      </c>
      <c r="T116" s="100" t="s">
        <v>1026</v>
      </c>
      <c r="U116" s="100"/>
      <c r="V116" s="100"/>
      <c r="W116" s="100"/>
      <c r="X116" s="100"/>
      <c r="Y116" s="100" t="s">
        <v>779</v>
      </c>
      <c r="Z116" s="100" t="s">
        <v>780</v>
      </c>
      <c r="AA116" s="100" t="s">
        <v>781</v>
      </c>
      <c r="AB116" s="100" t="s">
        <v>782</v>
      </c>
      <c r="AC116" s="100" t="s">
        <v>794</v>
      </c>
      <c r="AD116" s="100" t="s">
        <v>1027</v>
      </c>
      <c r="AE116" s="100"/>
      <c r="AF116" s="100"/>
    </row>
    <row r="117" spans="1:32">
      <c r="A117" s="100" t="s">
        <v>739</v>
      </c>
      <c r="B117" s="100" t="s">
        <v>785</v>
      </c>
      <c r="C117" s="100" t="s">
        <v>771</v>
      </c>
      <c r="D117" s="100"/>
      <c r="E117" s="100" t="s">
        <v>786</v>
      </c>
      <c r="F117" s="100"/>
      <c r="G117" s="105">
        <v>10003485</v>
      </c>
      <c r="H117" s="105">
        <v>18953602</v>
      </c>
      <c r="I117" s="100" t="s">
        <v>807</v>
      </c>
      <c r="J117" s="105">
        <v>3</v>
      </c>
      <c r="K117" s="105">
        <v>22</v>
      </c>
      <c r="L117" s="101">
        <v>-208875</v>
      </c>
      <c r="M117" s="106">
        <v>44651</v>
      </c>
      <c r="N117" s="106">
        <v>44651</v>
      </c>
      <c r="O117" s="106">
        <v>44614</v>
      </c>
      <c r="P117" s="100" t="s">
        <v>1132</v>
      </c>
      <c r="Q117" s="100" t="s">
        <v>1133</v>
      </c>
      <c r="R117" s="100"/>
      <c r="S117" s="100">
        <v>0</v>
      </c>
      <c r="T117" s="100" t="s">
        <v>1134</v>
      </c>
      <c r="U117" s="100"/>
      <c r="V117" s="100"/>
      <c r="W117" s="100"/>
      <c r="X117" s="100"/>
      <c r="Y117" s="100" t="s">
        <v>779</v>
      </c>
      <c r="Z117" s="100" t="s">
        <v>780</v>
      </c>
      <c r="AA117" s="100" t="s">
        <v>1111</v>
      </c>
      <c r="AB117" s="100" t="s">
        <v>782</v>
      </c>
      <c r="AC117" s="100" t="s">
        <v>794</v>
      </c>
      <c r="AD117" s="100" t="s">
        <v>1135</v>
      </c>
      <c r="AE117" s="100"/>
      <c r="AF117" s="100"/>
    </row>
    <row r="118" spans="1:32">
      <c r="A118" s="100" t="s">
        <v>739</v>
      </c>
      <c r="B118" s="100" t="s">
        <v>785</v>
      </c>
      <c r="C118" s="100" t="s">
        <v>771</v>
      </c>
      <c r="D118" s="100"/>
      <c r="E118" s="100" t="s">
        <v>786</v>
      </c>
      <c r="F118" s="100"/>
      <c r="G118" s="105">
        <v>10004161</v>
      </c>
      <c r="H118" s="105">
        <v>18956830</v>
      </c>
      <c r="I118" s="100" t="s">
        <v>807</v>
      </c>
      <c r="J118" s="105">
        <v>3</v>
      </c>
      <c r="K118" s="105">
        <v>22</v>
      </c>
      <c r="L118" s="101">
        <v>-511100</v>
      </c>
      <c r="M118" s="106">
        <v>44651</v>
      </c>
      <c r="N118" s="106">
        <v>44651</v>
      </c>
      <c r="O118" s="106">
        <v>44616</v>
      </c>
      <c r="P118" s="100" t="s">
        <v>1136</v>
      </c>
      <c r="Q118" s="100" t="s">
        <v>1137</v>
      </c>
      <c r="R118" s="100"/>
      <c r="S118" s="100">
        <v>0</v>
      </c>
      <c r="T118" s="100" t="s">
        <v>1138</v>
      </c>
      <c r="U118" s="100"/>
      <c r="V118" s="100"/>
      <c r="W118" s="100"/>
      <c r="X118" s="100"/>
      <c r="Y118" s="100" t="s">
        <v>779</v>
      </c>
      <c r="Z118" s="100" t="s">
        <v>780</v>
      </c>
      <c r="AA118" s="100" t="s">
        <v>1111</v>
      </c>
      <c r="AB118" s="100" t="s">
        <v>1112</v>
      </c>
      <c r="AC118" s="100" t="s">
        <v>794</v>
      </c>
      <c r="AD118" s="100" t="s">
        <v>1139</v>
      </c>
      <c r="AE118" s="100"/>
      <c r="AF118" s="100"/>
    </row>
    <row r="119" spans="1:32">
      <c r="A119" s="100" t="s">
        <v>739</v>
      </c>
      <c r="B119" s="100" t="s">
        <v>785</v>
      </c>
      <c r="C119" s="100" t="s">
        <v>771</v>
      </c>
      <c r="D119" s="100"/>
      <c r="E119" s="100" t="s">
        <v>786</v>
      </c>
      <c r="F119" s="100"/>
      <c r="G119" s="105">
        <v>10004161</v>
      </c>
      <c r="H119" s="105">
        <v>18956830</v>
      </c>
      <c r="I119" s="100" t="s">
        <v>807</v>
      </c>
      <c r="J119" s="105">
        <v>3</v>
      </c>
      <c r="K119" s="105">
        <v>22</v>
      </c>
      <c r="L119" s="101">
        <v>-67500</v>
      </c>
      <c r="M119" s="106">
        <v>44651</v>
      </c>
      <c r="N119" s="106">
        <v>44651</v>
      </c>
      <c r="O119" s="106">
        <v>44616</v>
      </c>
      <c r="P119" s="100" t="s">
        <v>1140</v>
      </c>
      <c r="Q119" s="100" t="s">
        <v>1137</v>
      </c>
      <c r="R119" s="100"/>
      <c r="S119" s="100">
        <v>0</v>
      </c>
      <c r="T119" s="100" t="s">
        <v>1141</v>
      </c>
      <c r="U119" s="100"/>
      <c r="V119" s="100"/>
      <c r="W119" s="100"/>
      <c r="X119" s="100"/>
      <c r="Y119" s="100" t="s">
        <v>779</v>
      </c>
      <c r="Z119" s="100" t="s">
        <v>780</v>
      </c>
      <c r="AA119" s="100" t="s">
        <v>1111</v>
      </c>
      <c r="AB119" s="100" t="s">
        <v>1112</v>
      </c>
      <c r="AC119" s="100" t="s">
        <v>794</v>
      </c>
      <c r="AD119" s="100" t="s">
        <v>1142</v>
      </c>
      <c r="AE119" s="100"/>
      <c r="AF119" s="100"/>
    </row>
    <row r="120" spans="1:32">
      <c r="A120" s="100" t="s">
        <v>738</v>
      </c>
      <c r="B120" s="100" t="s">
        <v>1143</v>
      </c>
      <c r="C120" s="100" t="s">
        <v>771</v>
      </c>
      <c r="D120" s="100"/>
      <c r="E120" s="100" t="s">
        <v>772</v>
      </c>
      <c r="F120" s="100"/>
      <c r="G120" s="105">
        <v>10015392</v>
      </c>
      <c r="H120" s="105">
        <v>1429752</v>
      </c>
      <c r="I120" s="100" t="s">
        <v>773</v>
      </c>
      <c r="J120" s="105">
        <v>3</v>
      </c>
      <c r="K120" s="105">
        <v>22</v>
      </c>
      <c r="L120" s="101">
        <v>50000</v>
      </c>
      <c r="M120" s="106">
        <v>44490</v>
      </c>
      <c r="N120" s="106">
        <v>44641</v>
      </c>
      <c r="O120" s="106">
        <v>44641</v>
      </c>
      <c r="P120" s="100" t="s">
        <v>1144</v>
      </c>
      <c r="Q120" s="100" t="s">
        <v>814</v>
      </c>
      <c r="R120" s="100" t="s">
        <v>1145</v>
      </c>
      <c r="S120" s="100" t="s">
        <v>1146</v>
      </c>
      <c r="T120" s="100" t="s">
        <v>1147</v>
      </c>
      <c r="U120" s="100"/>
      <c r="V120" s="100"/>
      <c r="W120" s="100"/>
      <c r="X120" s="100"/>
      <c r="Y120" s="100" t="s">
        <v>779</v>
      </c>
      <c r="Z120" s="100" t="s">
        <v>780</v>
      </c>
      <c r="AA120" s="100" t="s">
        <v>781</v>
      </c>
      <c r="AB120" s="100" t="s">
        <v>782</v>
      </c>
      <c r="AC120" s="100" t="s">
        <v>1148</v>
      </c>
      <c r="AD120" s="100" t="s">
        <v>1149</v>
      </c>
      <c r="AE120" s="100"/>
      <c r="AF120" s="100"/>
    </row>
    <row r="121" spans="1:32">
      <c r="A121" s="100" t="s">
        <v>738</v>
      </c>
      <c r="B121" s="100" t="s">
        <v>1143</v>
      </c>
      <c r="C121" s="100" t="s">
        <v>771</v>
      </c>
      <c r="D121" s="100"/>
      <c r="E121" s="100" t="s">
        <v>786</v>
      </c>
      <c r="F121" s="100"/>
      <c r="G121" s="105">
        <v>10003477</v>
      </c>
      <c r="H121" s="105">
        <v>18953596</v>
      </c>
      <c r="I121" s="100" t="s">
        <v>807</v>
      </c>
      <c r="J121" s="105">
        <v>3</v>
      </c>
      <c r="K121" s="105">
        <v>22</v>
      </c>
      <c r="L121" s="101">
        <v>-50000</v>
      </c>
      <c r="M121" s="106">
        <v>44651</v>
      </c>
      <c r="N121" s="106">
        <v>44651</v>
      </c>
      <c r="O121" s="106">
        <v>44614</v>
      </c>
      <c r="P121" s="100" t="s">
        <v>1150</v>
      </c>
      <c r="Q121" s="100" t="s">
        <v>1151</v>
      </c>
      <c r="R121" s="100"/>
      <c r="S121" s="100">
        <v>0</v>
      </c>
      <c r="T121" s="100" t="s">
        <v>1152</v>
      </c>
      <c r="U121" s="100"/>
      <c r="V121" s="100"/>
      <c r="W121" s="100"/>
      <c r="X121" s="100"/>
      <c r="Y121" s="100" t="s">
        <v>779</v>
      </c>
      <c r="Z121" s="100" t="s">
        <v>780</v>
      </c>
      <c r="AA121" s="100" t="s">
        <v>967</v>
      </c>
      <c r="AB121" s="100" t="s">
        <v>964</v>
      </c>
      <c r="AC121" s="100" t="s">
        <v>1148</v>
      </c>
      <c r="AD121" s="100" t="s">
        <v>1153</v>
      </c>
      <c r="AE121" s="100"/>
      <c r="AF121" s="100"/>
    </row>
    <row r="122" spans="1:32">
      <c r="A122" s="100" t="s">
        <v>737</v>
      </c>
      <c r="B122" s="100" t="s">
        <v>908</v>
      </c>
      <c r="C122" s="100" t="s">
        <v>771</v>
      </c>
      <c r="D122" s="100"/>
      <c r="E122" s="100" t="s">
        <v>772</v>
      </c>
      <c r="F122" s="100"/>
      <c r="G122" s="105">
        <v>10012422</v>
      </c>
      <c r="H122" s="105">
        <v>1429030</v>
      </c>
      <c r="I122" s="100" t="s">
        <v>773</v>
      </c>
      <c r="J122" s="105">
        <v>3</v>
      </c>
      <c r="K122" s="105">
        <v>22</v>
      </c>
      <c r="L122" s="101">
        <v>100000</v>
      </c>
      <c r="M122" s="106">
        <v>44523</v>
      </c>
      <c r="N122" s="106">
        <v>44634</v>
      </c>
      <c r="O122" s="106">
        <v>44634</v>
      </c>
      <c r="P122" s="100" t="s">
        <v>1154</v>
      </c>
      <c r="Q122" s="100" t="s">
        <v>183</v>
      </c>
      <c r="R122" s="100" t="s">
        <v>1155</v>
      </c>
      <c r="S122" s="100" t="s">
        <v>899</v>
      </c>
      <c r="T122" s="100" t="s">
        <v>1156</v>
      </c>
      <c r="U122" s="100"/>
      <c r="V122" s="100"/>
      <c r="W122" s="100"/>
      <c r="X122" s="100"/>
      <c r="Y122" s="100" t="s">
        <v>779</v>
      </c>
      <c r="Z122" s="100" t="s">
        <v>780</v>
      </c>
      <c r="AA122" s="100" t="s">
        <v>781</v>
      </c>
      <c r="AB122" s="100" t="s">
        <v>782</v>
      </c>
      <c r="AC122" s="100" t="s">
        <v>913</v>
      </c>
      <c r="AD122" s="100" t="s">
        <v>1157</v>
      </c>
      <c r="AE122" s="100"/>
      <c r="AF122" s="100"/>
    </row>
    <row r="123" spans="1:32">
      <c r="A123" s="100" t="s">
        <v>738</v>
      </c>
      <c r="B123" s="100" t="s">
        <v>979</v>
      </c>
      <c r="C123" s="100" t="s">
        <v>771</v>
      </c>
      <c r="D123" s="100"/>
      <c r="E123" s="100" t="s">
        <v>772</v>
      </c>
      <c r="F123" s="100" t="s">
        <v>772</v>
      </c>
      <c r="G123" s="105">
        <v>10008572</v>
      </c>
      <c r="H123" s="105">
        <v>1426303</v>
      </c>
      <c r="I123" s="100" t="s">
        <v>773</v>
      </c>
      <c r="J123" s="105">
        <v>3</v>
      </c>
      <c r="K123" s="105">
        <v>22</v>
      </c>
      <c r="L123" s="101">
        <v>-48524.99</v>
      </c>
      <c r="M123" s="106">
        <v>44614</v>
      </c>
      <c r="N123" s="106">
        <v>44630</v>
      </c>
      <c r="O123" s="106">
        <v>44630</v>
      </c>
      <c r="P123" s="100" t="s">
        <v>1158</v>
      </c>
      <c r="Q123" s="100" t="s">
        <v>407</v>
      </c>
      <c r="R123" s="100" t="s">
        <v>1159</v>
      </c>
      <c r="S123" s="100" t="s">
        <v>1160</v>
      </c>
      <c r="T123" s="100" t="s">
        <v>1161</v>
      </c>
      <c r="U123" s="100"/>
      <c r="V123" s="100"/>
      <c r="W123" s="100"/>
      <c r="X123" s="100"/>
      <c r="Y123" s="100" t="s">
        <v>779</v>
      </c>
      <c r="Z123" s="100" t="s">
        <v>780</v>
      </c>
      <c r="AA123" s="100" t="s">
        <v>781</v>
      </c>
      <c r="AB123" s="100" t="s">
        <v>782</v>
      </c>
      <c r="AC123" s="100" t="s">
        <v>984</v>
      </c>
      <c r="AD123" s="100" t="s">
        <v>1162</v>
      </c>
      <c r="AE123" s="100"/>
      <c r="AF123" s="100"/>
    </row>
    <row r="124" spans="1:32">
      <c r="A124" s="100" t="s">
        <v>738</v>
      </c>
      <c r="B124" s="100" t="s">
        <v>979</v>
      </c>
      <c r="C124" s="100" t="s">
        <v>771</v>
      </c>
      <c r="D124" s="100"/>
      <c r="E124" s="100" t="s">
        <v>772</v>
      </c>
      <c r="F124" s="100" t="s">
        <v>772</v>
      </c>
      <c r="G124" s="105">
        <v>10008572</v>
      </c>
      <c r="H124" s="105">
        <v>1426303</v>
      </c>
      <c r="I124" s="100" t="s">
        <v>773</v>
      </c>
      <c r="J124" s="105">
        <v>3</v>
      </c>
      <c r="K124" s="105">
        <v>22</v>
      </c>
      <c r="L124" s="101">
        <v>48525</v>
      </c>
      <c r="M124" s="106">
        <v>44614</v>
      </c>
      <c r="N124" s="106">
        <v>44630</v>
      </c>
      <c r="O124" s="106">
        <v>44630</v>
      </c>
      <c r="P124" s="100" t="s">
        <v>1163</v>
      </c>
      <c r="Q124" s="100" t="s">
        <v>407</v>
      </c>
      <c r="R124" s="100" t="s">
        <v>1159</v>
      </c>
      <c r="S124" s="100" t="s">
        <v>1160</v>
      </c>
      <c r="T124" s="100" t="s">
        <v>1161</v>
      </c>
      <c r="U124" s="100"/>
      <c r="V124" s="100"/>
      <c r="W124" s="100"/>
      <c r="X124" s="100"/>
      <c r="Y124" s="100" t="s">
        <v>779</v>
      </c>
      <c r="Z124" s="100" t="s">
        <v>780</v>
      </c>
      <c r="AA124" s="100" t="s">
        <v>781</v>
      </c>
      <c r="AB124" s="100" t="s">
        <v>782</v>
      </c>
      <c r="AC124" s="100" t="s">
        <v>984</v>
      </c>
      <c r="AD124" s="100" t="s">
        <v>1162</v>
      </c>
      <c r="AE124" s="100"/>
      <c r="AF124" s="100"/>
    </row>
    <row r="125" spans="1:32">
      <c r="A125" s="100" t="s">
        <v>738</v>
      </c>
      <c r="B125" s="100" t="s">
        <v>979</v>
      </c>
      <c r="C125" s="100" t="s">
        <v>771</v>
      </c>
      <c r="D125" s="100"/>
      <c r="E125" s="100" t="s">
        <v>802</v>
      </c>
      <c r="F125" s="100"/>
      <c r="G125" s="105">
        <v>10008169</v>
      </c>
      <c r="H125" s="105">
        <v>3940970</v>
      </c>
      <c r="I125" s="100" t="s">
        <v>803</v>
      </c>
      <c r="J125" s="105">
        <v>3</v>
      </c>
      <c r="K125" s="105">
        <v>22</v>
      </c>
      <c r="L125" s="101">
        <v>42187.62</v>
      </c>
      <c r="M125" s="106">
        <v>44651</v>
      </c>
      <c r="N125" s="106">
        <v>44630</v>
      </c>
      <c r="O125" s="106">
        <v>44630</v>
      </c>
      <c r="P125" s="100" t="s">
        <v>804</v>
      </c>
      <c r="Q125" s="100" t="s">
        <v>1060</v>
      </c>
      <c r="R125" s="100"/>
      <c r="S125" s="100" t="s">
        <v>1062</v>
      </c>
      <c r="T125" s="100" t="s">
        <v>1164</v>
      </c>
      <c r="U125" s="100"/>
      <c r="V125" s="100"/>
      <c r="W125" s="100"/>
      <c r="X125" s="100"/>
      <c r="Y125" s="100" t="s">
        <v>779</v>
      </c>
      <c r="Z125" s="100" t="s">
        <v>780</v>
      </c>
      <c r="AA125" s="100" t="s">
        <v>782</v>
      </c>
      <c r="AB125" s="100" t="s">
        <v>782</v>
      </c>
      <c r="AC125" s="100" t="s">
        <v>984</v>
      </c>
      <c r="AD125" s="100"/>
      <c r="AE125" s="100"/>
      <c r="AF125" s="100"/>
    </row>
    <row r="126" spans="1:32">
      <c r="A126" s="100" t="s">
        <v>738</v>
      </c>
      <c r="B126" s="100" t="s">
        <v>979</v>
      </c>
      <c r="C126" s="100" t="s">
        <v>771</v>
      </c>
      <c r="D126" s="100"/>
      <c r="E126" s="100" t="s">
        <v>772</v>
      </c>
      <c r="F126" s="100" t="s">
        <v>772</v>
      </c>
      <c r="G126" s="105">
        <v>10008572</v>
      </c>
      <c r="H126" s="105">
        <v>1426303</v>
      </c>
      <c r="I126" s="100" t="s">
        <v>773</v>
      </c>
      <c r="J126" s="105">
        <v>3</v>
      </c>
      <c r="K126" s="105">
        <v>22</v>
      </c>
      <c r="L126" s="101">
        <v>48524.99</v>
      </c>
      <c r="M126" s="106">
        <v>44614</v>
      </c>
      <c r="N126" s="106">
        <v>44636</v>
      </c>
      <c r="O126" s="106">
        <v>44630</v>
      </c>
      <c r="P126" s="100" t="s">
        <v>1158</v>
      </c>
      <c r="Q126" s="100" t="s">
        <v>407</v>
      </c>
      <c r="R126" s="100" t="s">
        <v>1159</v>
      </c>
      <c r="S126" s="100" t="s">
        <v>1160</v>
      </c>
      <c r="T126" s="100" t="s">
        <v>1161</v>
      </c>
      <c r="U126" s="100"/>
      <c r="V126" s="100"/>
      <c r="W126" s="100"/>
      <c r="X126" s="100"/>
      <c r="Y126" s="100" t="s">
        <v>779</v>
      </c>
      <c r="Z126" s="100" t="s">
        <v>780</v>
      </c>
      <c r="AA126" s="100" t="s">
        <v>781</v>
      </c>
      <c r="AB126" s="100" t="s">
        <v>1165</v>
      </c>
      <c r="AC126" s="100" t="s">
        <v>984</v>
      </c>
      <c r="AD126" s="100" t="s">
        <v>1162</v>
      </c>
      <c r="AE126" s="100"/>
      <c r="AF126" s="100"/>
    </row>
    <row r="127" spans="1:32">
      <c r="A127" s="100" t="s">
        <v>738</v>
      </c>
      <c r="B127" s="100" t="s">
        <v>979</v>
      </c>
      <c r="C127" s="100" t="s">
        <v>771</v>
      </c>
      <c r="D127" s="100"/>
      <c r="E127" s="100" t="s">
        <v>772</v>
      </c>
      <c r="F127" s="100" t="s">
        <v>772</v>
      </c>
      <c r="G127" s="105">
        <v>10008572</v>
      </c>
      <c r="H127" s="105">
        <v>1426303</v>
      </c>
      <c r="I127" s="100" t="s">
        <v>773</v>
      </c>
      <c r="J127" s="105">
        <v>3</v>
      </c>
      <c r="K127" s="105">
        <v>22</v>
      </c>
      <c r="L127" s="101">
        <v>-48525</v>
      </c>
      <c r="M127" s="106">
        <v>44614</v>
      </c>
      <c r="N127" s="106">
        <v>44636</v>
      </c>
      <c r="O127" s="106">
        <v>44630</v>
      </c>
      <c r="P127" s="100" t="s">
        <v>1163</v>
      </c>
      <c r="Q127" s="100" t="s">
        <v>407</v>
      </c>
      <c r="R127" s="100" t="s">
        <v>1159</v>
      </c>
      <c r="S127" s="100" t="s">
        <v>1160</v>
      </c>
      <c r="T127" s="100" t="s">
        <v>1161</v>
      </c>
      <c r="U127" s="100"/>
      <c r="V127" s="100"/>
      <c r="W127" s="100"/>
      <c r="X127" s="100"/>
      <c r="Y127" s="100" t="s">
        <v>779</v>
      </c>
      <c r="Z127" s="100" t="s">
        <v>780</v>
      </c>
      <c r="AA127" s="100" t="s">
        <v>781</v>
      </c>
      <c r="AB127" s="100" t="s">
        <v>1165</v>
      </c>
      <c r="AC127" s="100" t="s">
        <v>984</v>
      </c>
      <c r="AD127" s="100" t="s">
        <v>1162</v>
      </c>
      <c r="AE127" s="100"/>
      <c r="AF127" s="100"/>
    </row>
    <row r="128" spans="1:32">
      <c r="A128" s="100" t="s">
        <v>738</v>
      </c>
      <c r="B128" s="100" t="s">
        <v>979</v>
      </c>
      <c r="C128" s="100" t="s">
        <v>771</v>
      </c>
      <c r="D128" s="100"/>
      <c r="E128" s="100" t="s">
        <v>802</v>
      </c>
      <c r="F128" s="100"/>
      <c r="G128" s="105">
        <v>10016370</v>
      </c>
      <c r="H128" s="105">
        <v>3954275</v>
      </c>
      <c r="I128" s="100" t="s">
        <v>803</v>
      </c>
      <c r="J128" s="105">
        <v>3</v>
      </c>
      <c r="K128" s="105">
        <v>22</v>
      </c>
      <c r="L128" s="101">
        <v>48525</v>
      </c>
      <c r="M128" s="106">
        <v>44651</v>
      </c>
      <c r="N128" s="106">
        <v>44643</v>
      </c>
      <c r="O128" s="106">
        <v>44643</v>
      </c>
      <c r="P128" s="100" t="s">
        <v>804</v>
      </c>
      <c r="Q128" s="100" t="s">
        <v>407</v>
      </c>
      <c r="R128" s="100"/>
      <c r="S128" s="100" t="s">
        <v>1160</v>
      </c>
      <c r="T128" s="100" t="s">
        <v>1166</v>
      </c>
      <c r="U128" s="100"/>
      <c r="V128" s="100"/>
      <c r="W128" s="100"/>
      <c r="X128" s="100"/>
      <c r="Y128" s="100" t="s">
        <v>779</v>
      </c>
      <c r="Z128" s="100" t="s">
        <v>780</v>
      </c>
      <c r="AA128" s="100" t="s">
        <v>782</v>
      </c>
      <c r="AB128" s="100" t="s">
        <v>782</v>
      </c>
      <c r="AC128" s="100" t="s">
        <v>984</v>
      </c>
      <c r="AD128" s="100"/>
      <c r="AE128" s="100"/>
      <c r="AF128" s="100"/>
    </row>
    <row r="129" spans="1:32">
      <c r="A129" s="100" t="s">
        <v>739</v>
      </c>
      <c r="B129" s="100" t="s">
        <v>795</v>
      </c>
      <c r="C129" s="100" t="s">
        <v>771</v>
      </c>
      <c r="D129" s="100"/>
      <c r="E129" s="100" t="s">
        <v>786</v>
      </c>
      <c r="F129" s="100"/>
      <c r="G129" s="105">
        <v>10002654</v>
      </c>
      <c r="H129" s="105">
        <v>18951517</v>
      </c>
      <c r="I129" s="100" t="s">
        <v>807</v>
      </c>
      <c r="J129" s="105">
        <v>3</v>
      </c>
      <c r="K129" s="105">
        <v>22</v>
      </c>
      <c r="L129" s="101">
        <v>-40000</v>
      </c>
      <c r="M129" s="106">
        <v>44651</v>
      </c>
      <c r="N129" s="106">
        <v>44651</v>
      </c>
      <c r="O129" s="106">
        <v>44610</v>
      </c>
      <c r="P129" s="100" t="s">
        <v>1167</v>
      </c>
      <c r="Q129" s="100" t="s">
        <v>1168</v>
      </c>
      <c r="R129" s="100"/>
      <c r="S129" s="100">
        <v>0</v>
      </c>
      <c r="T129" s="100" t="s">
        <v>1169</v>
      </c>
      <c r="U129" s="100"/>
      <c r="V129" s="100"/>
      <c r="W129" s="100" t="s">
        <v>811</v>
      </c>
      <c r="X129" s="100"/>
      <c r="Y129" s="100" t="s">
        <v>779</v>
      </c>
      <c r="Z129" s="100" t="s">
        <v>780</v>
      </c>
      <c r="AA129" s="100" t="s">
        <v>812</v>
      </c>
      <c r="AB129" s="100" t="s">
        <v>782</v>
      </c>
      <c r="AC129" s="100" t="s">
        <v>801</v>
      </c>
      <c r="AD129" s="100" t="s">
        <v>1170</v>
      </c>
      <c r="AE129" s="100"/>
      <c r="AF129" s="100"/>
    </row>
    <row r="130" spans="1:32">
      <c r="A130" s="100" t="s">
        <v>739</v>
      </c>
      <c r="B130" s="100" t="s">
        <v>795</v>
      </c>
      <c r="C130" s="100" t="s">
        <v>771</v>
      </c>
      <c r="D130" s="100"/>
      <c r="E130" s="100" t="s">
        <v>786</v>
      </c>
      <c r="F130" s="100"/>
      <c r="G130" s="105">
        <v>10003937</v>
      </c>
      <c r="H130" s="105">
        <v>18955630</v>
      </c>
      <c r="I130" s="100" t="s">
        <v>807</v>
      </c>
      <c r="J130" s="105">
        <v>3</v>
      </c>
      <c r="K130" s="105">
        <v>22</v>
      </c>
      <c r="L130" s="101">
        <v>-30000</v>
      </c>
      <c r="M130" s="106">
        <v>44651</v>
      </c>
      <c r="N130" s="106">
        <v>44651</v>
      </c>
      <c r="O130" s="106">
        <v>44615</v>
      </c>
      <c r="P130" s="100" t="s">
        <v>1171</v>
      </c>
      <c r="Q130" s="100" t="s">
        <v>1171</v>
      </c>
      <c r="R130" s="100"/>
      <c r="S130" s="100">
        <v>0</v>
      </c>
      <c r="T130" s="100" t="s">
        <v>800</v>
      </c>
      <c r="U130" s="100"/>
      <c r="V130" s="100"/>
      <c r="W130" s="100" t="s">
        <v>811</v>
      </c>
      <c r="X130" s="100"/>
      <c r="Y130" s="100" t="s">
        <v>779</v>
      </c>
      <c r="Z130" s="100" t="s">
        <v>780</v>
      </c>
      <c r="AA130" s="100" t="s">
        <v>812</v>
      </c>
      <c r="AB130" s="100" t="s">
        <v>782</v>
      </c>
      <c r="AC130" s="100" t="s">
        <v>801</v>
      </c>
      <c r="AD130" s="100" t="s">
        <v>796</v>
      </c>
      <c r="AE130" s="100"/>
      <c r="AF130" s="100"/>
    </row>
    <row r="131" spans="1:32">
      <c r="A131" s="100" t="s">
        <v>737</v>
      </c>
      <c r="B131" s="100" t="s">
        <v>924</v>
      </c>
      <c r="C131" s="100" t="s">
        <v>771</v>
      </c>
      <c r="D131" s="100"/>
      <c r="E131" s="100" t="s">
        <v>772</v>
      </c>
      <c r="F131" s="100"/>
      <c r="G131" s="105">
        <v>10012406</v>
      </c>
      <c r="H131" s="105">
        <v>1429015</v>
      </c>
      <c r="I131" s="100" t="s">
        <v>773</v>
      </c>
      <c r="J131" s="105">
        <v>3</v>
      </c>
      <c r="K131" s="105">
        <v>22</v>
      </c>
      <c r="L131" s="101">
        <v>239840</v>
      </c>
      <c r="M131" s="106">
        <v>44405</v>
      </c>
      <c r="N131" s="106">
        <v>44634</v>
      </c>
      <c r="O131" s="106">
        <v>44634</v>
      </c>
      <c r="P131" s="100" t="s">
        <v>1172</v>
      </c>
      <c r="Q131" s="100" t="s">
        <v>1173</v>
      </c>
      <c r="R131" s="100" t="s">
        <v>1174</v>
      </c>
      <c r="S131" s="100" t="s">
        <v>1175</v>
      </c>
      <c r="T131" s="100" t="s">
        <v>1176</v>
      </c>
      <c r="U131" s="100"/>
      <c r="V131" s="100"/>
      <c r="W131" s="100"/>
      <c r="X131" s="100"/>
      <c r="Y131" s="100" t="s">
        <v>779</v>
      </c>
      <c r="Z131" s="100" t="s">
        <v>780</v>
      </c>
      <c r="AA131" s="100" t="s">
        <v>781</v>
      </c>
      <c r="AB131" s="100" t="s">
        <v>782</v>
      </c>
      <c r="AC131" s="100" t="s">
        <v>930</v>
      </c>
      <c r="AD131" s="100" t="s">
        <v>1177</v>
      </c>
      <c r="AE131" s="100"/>
      <c r="AF131" s="100"/>
    </row>
    <row r="132" spans="1:32">
      <c r="A132" s="100" t="s">
        <v>737</v>
      </c>
      <c r="B132" s="100" t="s">
        <v>924</v>
      </c>
      <c r="C132" s="100" t="s">
        <v>771</v>
      </c>
      <c r="D132" s="100"/>
      <c r="E132" s="100" t="s">
        <v>786</v>
      </c>
      <c r="F132" s="100"/>
      <c r="G132" s="105">
        <v>10003237</v>
      </c>
      <c r="H132" s="105">
        <v>18952821</v>
      </c>
      <c r="I132" s="100" t="s">
        <v>807</v>
      </c>
      <c r="J132" s="105">
        <v>3</v>
      </c>
      <c r="K132" s="105">
        <v>22</v>
      </c>
      <c r="L132" s="101">
        <v>-298100</v>
      </c>
      <c r="M132" s="106">
        <v>44651</v>
      </c>
      <c r="N132" s="106">
        <v>44651</v>
      </c>
      <c r="O132" s="106">
        <v>44614</v>
      </c>
      <c r="P132" s="100" t="s">
        <v>1178</v>
      </c>
      <c r="Q132" s="100" t="s">
        <v>1179</v>
      </c>
      <c r="R132" s="100"/>
      <c r="S132" s="100">
        <v>0</v>
      </c>
      <c r="T132" s="100" t="s">
        <v>1180</v>
      </c>
      <c r="U132" s="100"/>
      <c r="V132" s="100"/>
      <c r="W132" s="100" t="s">
        <v>827</v>
      </c>
      <c r="X132" s="100"/>
      <c r="Y132" s="100" t="s">
        <v>779</v>
      </c>
      <c r="Z132" s="100" t="s">
        <v>780</v>
      </c>
      <c r="AA132" s="100" t="s">
        <v>1181</v>
      </c>
      <c r="AB132" s="100" t="s">
        <v>782</v>
      </c>
      <c r="AC132" s="100" t="s">
        <v>930</v>
      </c>
      <c r="AD132" s="100" t="s">
        <v>1182</v>
      </c>
      <c r="AE132" s="100"/>
      <c r="AF132" s="100"/>
    </row>
    <row r="133" spans="1:32">
      <c r="A133" s="100" t="s">
        <v>737</v>
      </c>
      <c r="B133" s="100" t="s">
        <v>924</v>
      </c>
      <c r="C133" s="100" t="s">
        <v>771</v>
      </c>
      <c r="D133" s="100"/>
      <c r="E133" s="100" t="s">
        <v>786</v>
      </c>
      <c r="F133" s="100"/>
      <c r="G133" s="105">
        <v>10003237</v>
      </c>
      <c r="H133" s="105">
        <v>18952821</v>
      </c>
      <c r="I133" s="100" t="s">
        <v>807</v>
      </c>
      <c r="J133" s="105">
        <v>3</v>
      </c>
      <c r="K133" s="105">
        <v>22</v>
      </c>
      <c r="L133" s="101">
        <v>-630430</v>
      </c>
      <c r="M133" s="106">
        <v>44651</v>
      </c>
      <c r="N133" s="106">
        <v>44651</v>
      </c>
      <c r="O133" s="106">
        <v>44614</v>
      </c>
      <c r="P133" s="100" t="s">
        <v>1183</v>
      </c>
      <c r="Q133" s="100" t="s">
        <v>1179</v>
      </c>
      <c r="R133" s="100"/>
      <c r="S133" s="100">
        <v>0</v>
      </c>
      <c r="T133" s="100" t="s">
        <v>1184</v>
      </c>
      <c r="U133" s="100"/>
      <c r="V133" s="100"/>
      <c r="W133" s="100" t="s">
        <v>827</v>
      </c>
      <c r="X133" s="100"/>
      <c r="Y133" s="100" t="s">
        <v>779</v>
      </c>
      <c r="Z133" s="100" t="s">
        <v>780</v>
      </c>
      <c r="AA133" s="100" t="s">
        <v>1181</v>
      </c>
      <c r="AB133" s="100" t="s">
        <v>782</v>
      </c>
      <c r="AC133" s="100" t="s">
        <v>930</v>
      </c>
      <c r="AD133" s="100" t="s">
        <v>1185</v>
      </c>
      <c r="AE133" s="100"/>
      <c r="AF133" s="100"/>
    </row>
    <row r="134" spans="1:32">
      <c r="A134" s="100" t="s">
        <v>736</v>
      </c>
      <c r="B134" s="100" t="s">
        <v>1186</v>
      </c>
      <c r="C134" s="100" t="s">
        <v>771</v>
      </c>
      <c r="D134" s="100"/>
      <c r="E134" s="100" t="s">
        <v>772</v>
      </c>
      <c r="F134" s="100"/>
      <c r="G134" s="105">
        <v>10014075</v>
      </c>
      <c r="H134" s="105">
        <v>1429320</v>
      </c>
      <c r="I134" s="100" t="s">
        <v>773</v>
      </c>
      <c r="J134" s="105">
        <v>3</v>
      </c>
      <c r="K134" s="105">
        <v>22</v>
      </c>
      <c r="L134" s="101">
        <v>21535.88</v>
      </c>
      <c r="M134" s="106">
        <v>44586</v>
      </c>
      <c r="N134" s="106">
        <v>44637</v>
      </c>
      <c r="O134" s="106">
        <v>44637</v>
      </c>
      <c r="P134" s="100" t="s">
        <v>1187</v>
      </c>
      <c r="Q134" s="100" t="s">
        <v>329</v>
      </c>
      <c r="R134" s="100" t="s">
        <v>1188</v>
      </c>
      <c r="S134" s="100" t="s">
        <v>1189</v>
      </c>
      <c r="T134" s="100" t="s">
        <v>1190</v>
      </c>
      <c r="U134" s="100"/>
      <c r="V134" s="100"/>
      <c r="W134" s="100"/>
      <c r="X134" s="100"/>
      <c r="Y134" s="100" t="s">
        <v>779</v>
      </c>
      <c r="Z134" s="100" t="s">
        <v>780</v>
      </c>
      <c r="AA134" s="100" t="s">
        <v>781</v>
      </c>
      <c r="AB134" s="100" t="s">
        <v>782</v>
      </c>
      <c r="AC134" s="100" t="s">
        <v>1191</v>
      </c>
      <c r="AD134" s="100"/>
      <c r="AE134" s="100"/>
      <c r="AF134" s="100"/>
    </row>
    <row r="135" spans="1:32">
      <c r="A135" s="100" t="s">
        <v>739</v>
      </c>
      <c r="B135" s="100" t="s">
        <v>813</v>
      </c>
      <c r="C135" s="100" t="s">
        <v>771</v>
      </c>
      <c r="D135" s="100"/>
      <c r="E135" s="100" t="s">
        <v>772</v>
      </c>
      <c r="F135" s="100"/>
      <c r="G135" s="105">
        <v>10009705</v>
      </c>
      <c r="H135" s="105">
        <v>1427422</v>
      </c>
      <c r="I135" s="100" t="s">
        <v>773</v>
      </c>
      <c r="J135" s="105">
        <v>3</v>
      </c>
      <c r="K135" s="105">
        <v>22</v>
      </c>
      <c r="L135" s="101">
        <v>37500</v>
      </c>
      <c r="M135" s="106">
        <v>44608</v>
      </c>
      <c r="N135" s="106">
        <v>44630</v>
      </c>
      <c r="O135" s="106">
        <v>44630</v>
      </c>
      <c r="P135" s="100" t="s">
        <v>1192</v>
      </c>
      <c r="Q135" s="100" t="s">
        <v>523</v>
      </c>
      <c r="R135" s="100" t="s">
        <v>1193</v>
      </c>
      <c r="S135" s="100" t="s">
        <v>1194</v>
      </c>
      <c r="T135" s="100" t="s">
        <v>1195</v>
      </c>
      <c r="U135" s="100"/>
      <c r="V135" s="100"/>
      <c r="W135" s="100"/>
      <c r="X135" s="100"/>
      <c r="Y135" s="100" t="s">
        <v>779</v>
      </c>
      <c r="Z135" s="100" t="s">
        <v>780</v>
      </c>
      <c r="AA135" s="100" t="s">
        <v>781</v>
      </c>
      <c r="AB135" s="100" t="s">
        <v>782</v>
      </c>
      <c r="AC135" s="100" t="s">
        <v>817</v>
      </c>
      <c r="AD135" s="100" t="s">
        <v>1196</v>
      </c>
      <c r="AE135" s="100"/>
      <c r="AF135" s="100"/>
    </row>
    <row r="136" spans="1:32">
      <c r="A136" s="100" t="s">
        <v>739</v>
      </c>
      <c r="B136" s="100" t="s">
        <v>813</v>
      </c>
      <c r="C136" s="100" t="s">
        <v>771</v>
      </c>
      <c r="D136" s="100"/>
      <c r="E136" s="100" t="s">
        <v>772</v>
      </c>
      <c r="F136" s="100"/>
      <c r="G136" s="105">
        <v>10014210</v>
      </c>
      <c r="H136" s="105">
        <v>1429446</v>
      </c>
      <c r="I136" s="100" t="s">
        <v>773</v>
      </c>
      <c r="J136" s="105">
        <v>3</v>
      </c>
      <c r="K136" s="105">
        <v>22</v>
      </c>
      <c r="L136" s="101">
        <v>70500</v>
      </c>
      <c r="M136" s="106">
        <v>44614</v>
      </c>
      <c r="N136" s="106">
        <v>44637</v>
      </c>
      <c r="O136" s="106">
        <v>44637</v>
      </c>
      <c r="P136" s="100" t="s">
        <v>1197</v>
      </c>
      <c r="Q136" s="100" t="s">
        <v>1198</v>
      </c>
      <c r="R136" s="100" t="s">
        <v>1199</v>
      </c>
      <c r="S136" s="100" t="s">
        <v>1200</v>
      </c>
      <c r="T136" s="100" t="s">
        <v>1201</v>
      </c>
      <c r="U136" s="100"/>
      <c r="V136" s="100"/>
      <c r="W136" s="100"/>
      <c r="X136" s="100"/>
      <c r="Y136" s="100" t="s">
        <v>779</v>
      </c>
      <c r="Z136" s="100" t="s">
        <v>780</v>
      </c>
      <c r="AA136" s="100" t="s">
        <v>781</v>
      </c>
      <c r="AB136" s="100" t="s">
        <v>782</v>
      </c>
      <c r="AC136" s="100" t="s">
        <v>817</v>
      </c>
      <c r="AD136" s="100" t="s">
        <v>1202</v>
      </c>
      <c r="AE136" s="100"/>
      <c r="AF136" s="100"/>
    </row>
    <row r="137" spans="1:32">
      <c r="A137" s="100" t="s">
        <v>739</v>
      </c>
      <c r="B137" s="100" t="s">
        <v>813</v>
      </c>
      <c r="C137" s="100" t="s">
        <v>771</v>
      </c>
      <c r="D137" s="100"/>
      <c r="E137" s="100" t="s">
        <v>772</v>
      </c>
      <c r="F137" s="100"/>
      <c r="G137" s="105">
        <v>10018228</v>
      </c>
      <c r="H137" s="105">
        <v>1430571</v>
      </c>
      <c r="I137" s="100" t="s">
        <v>773</v>
      </c>
      <c r="J137" s="105">
        <v>3</v>
      </c>
      <c r="K137" s="105">
        <v>22</v>
      </c>
      <c r="L137" s="101">
        <v>381700</v>
      </c>
      <c r="M137" s="106">
        <v>44610</v>
      </c>
      <c r="N137" s="106">
        <v>44645</v>
      </c>
      <c r="O137" s="106">
        <v>44645</v>
      </c>
      <c r="P137" s="100" t="s">
        <v>1203</v>
      </c>
      <c r="Q137" s="100" t="s">
        <v>495</v>
      </c>
      <c r="R137" s="100" t="s">
        <v>1204</v>
      </c>
      <c r="S137" s="100" t="s">
        <v>928</v>
      </c>
      <c r="T137" s="100" t="s">
        <v>1205</v>
      </c>
      <c r="U137" s="100"/>
      <c r="V137" s="100"/>
      <c r="W137" s="100"/>
      <c r="X137" s="100"/>
      <c r="Y137" s="100" t="s">
        <v>779</v>
      </c>
      <c r="Z137" s="100" t="s">
        <v>780</v>
      </c>
      <c r="AA137" s="100" t="s">
        <v>781</v>
      </c>
      <c r="AB137" s="100" t="s">
        <v>782</v>
      </c>
      <c r="AC137" s="100" t="s">
        <v>817</v>
      </c>
      <c r="AD137" s="100" t="s">
        <v>1206</v>
      </c>
      <c r="AE137" s="100"/>
      <c r="AF137" s="100"/>
    </row>
    <row r="138" spans="1:32">
      <c r="A138" s="100" t="s">
        <v>737</v>
      </c>
      <c r="B138" s="100" t="s">
        <v>1207</v>
      </c>
      <c r="C138" s="100" t="s">
        <v>771</v>
      </c>
      <c r="D138" s="100"/>
      <c r="E138" s="100" t="s">
        <v>772</v>
      </c>
      <c r="F138" s="100"/>
      <c r="G138" s="105">
        <v>10008539</v>
      </c>
      <c r="H138" s="105">
        <v>1426270</v>
      </c>
      <c r="I138" s="100" t="s">
        <v>773</v>
      </c>
      <c r="J138" s="105">
        <v>3</v>
      </c>
      <c r="K138" s="105">
        <v>22</v>
      </c>
      <c r="L138" s="101">
        <v>95000</v>
      </c>
      <c r="M138" s="106">
        <v>44627</v>
      </c>
      <c r="N138" s="106">
        <v>44630</v>
      </c>
      <c r="O138" s="106">
        <v>44630</v>
      </c>
      <c r="P138" s="100" t="s">
        <v>1208</v>
      </c>
      <c r="Q138" s="100" t="s">
        <v>620</v>
      </c>
      <c r="R138" s="100" t="s">
        <v>1209</v>
      </c>
      <c r="S138" s="100" t="s">
        <v>1210</v>
      </c>
      <c r="T138" s="100" t="s">
        <v>1211</v>
      </c>
      <c r="U138" s="100"/>
      <c r="V138" s="100"/>
      <c r="W138" s="100"/>
      <c r="X138" s="100"/>
      <c r="Y138" s="100" t="s">
        <v>779</v>
      </c>
      <c r="Z138" s="100" t="s">
        <v>780</v>
      </c>
      <c r="AA138" s="100" t="s">
        <v>781</v>
      </c>
      <c r="AB138" s="100" t="s">
        <v>782</v>
      </c>
      <c r="AC138" s="100" t="s">
        <v>1212</v>
      </c>
      <c r="AD138" s="100" t="s">
        <v>1213</v>
      </c>
      <c r="AE138" s="100"/>
      <c r="AF138" s="100"/>
    </row>
    <row r="139" spans="1:32">
      <c r="A139" s="100" t="s">
        <v>737</v>
      </c>
      <c r="B139" s="100" t="s">
        <v>1207</v>
      </c>
      <c r="C139" s="100" t="s">
        <v>771</v>
      </c>
      <c r="D139" s="100"/>
      <c r="E139" s="100" t="s">
        <v>786</v>
      </c>
      <c r="F139" s="100"/>
      <c r="G139" s="105">
        <v>10003237</v>
      </c>
      <c r="H139" s="105">
        <v>18952821</v>
      </c>
      <c r="I139" s="100" t="s">
        <v>807</v>
      </c>
      <c r="J139" s="105">
        <v>3</v>
      </c>
      <c r="K139" s="105">
        <v>22</v>
      </c>
      <c r="L139" s="101">
        <v>-125000</v>
      </c>
      <c r="M139" s="106">
        <v>44651</v>
      </c>
      <c r="N139" s="106">
        <v>44651</v>
      </c>
      <c r="O139" s="106">
        <v>44614</v>
      </c>
      <c r="P139" s="100" t="s">
        <v>1214</v>
      </c>
      <c r="Q139" s="100" t="s">
        <v>1179</v>
      </c>
      <c r="R139" s="100"/>
      <c r="S139" s="100">
        <v>0</v>
      </c>
      <c r="T139" s="100" t="s">
        <v>1215</v>
      </c>
      <c r="U139" s="100"/>
      <c r="V139" s="100"/>
      <c r="W139" s="100" t="s">
        <v>827</v>
      </c>
      <c r="X139" s="100"/>
      <c r="Y139" s="100" t="s">
        <v>779</v>
      </c>
      <c r="Z139" s="100" t="s">
        <v>780</v>
      </c>
      <c r="AA139" s="100" t="s">
        <v>1181</v>
      </c>
      <c r="AB139" s="100" t="s">
        <v>782</v>
      </c>
      <c r="AC139" s="100" t="s">
        <v>1212</v>
      </c>
      <c r="AD139" s="100" t="s">
        <v>1216</v>
      </c>
      <c r="AE139" s="100"/>
      <c r="AF139" s="100"/>
    </row>
    <row r="140" spans="1:32">
      <c r="A140" s="100" t="s">
        <v>737</v>
      </c>
      <c r="B140" s="100" t="s">
        <v>1207</v>
      </c>
      <c r="C140" s="100" t="s">
        <v>771</v>
      </c>
      <c r="D140" s="100"/>
      <c r="E140" s="100" t="s">
        <v>786</v>
      </c>
      <c r="F140" s="100"/>
      <c r="G140" s="105">
        <v>10003237</v>
      </c>
      <c r="H140" s="105">
        <v>18952821</v>
      </c>
      <c r="I140" s="100" t="s">
        <v>807</v>
      </c>
      <c r="J140" s="105">
        <v>3</v>
      </c>
      <c r="K140" s="105">
        <v>22</v>
      </c>
      <c r="L140" s="101">
        <v>-186050</v>
      </c>
      <c r="M140" s="106">
        <v>44651</v>
      </c>
      <c r="N140" s="106">
        <v>44651</v>
      </c>
      <c r="O140" s="106">
        <v>44614</v>
      </c>
      <c r="P140" s="100" t="s">
        <v>1217</v>
      </c>
      <c r="Q140" s="100" t="s">
        <v>1179</v>
      </c>
      <c r="R140" s="100"/>
      <c r="S140" s="100">
        <v>0</v>
      </c>
      <c r="T140" s="100" t="s">
        <v>1218</v>
      </c>
      <c r="U140" s="100"/>
      <c r="V140" s="100"/>
      <c r="W140" s="100" t="s">
        <v>827</v>
      </c>
      <c r="X140" s="100"/>
      <c r="Y140" s="100" t="s">
        <v>779</v>
      </c>
      <c r="Z140" s="100" t="s">
        <v>780</v>
      </c>
      <c r="AA140" s="100" t="s">
        <v>1181</v>
      </c>
      <c r="AB140" s="100" t="s">
        <v>782</v>
      </c>
      <c r="AC140" s="100" t="s">
        <v>1212</v>
      </c>
      <c r="AD140" s="100" t="s">
        <v>1219</v>
      </c>
      <c r="AE140" s="100"/>
      <c r="AF140" s="100"/>
    </row>
    <row r="141" spans="1:32">
      <c r="A141" s="102" t="s">
        <v>736</v>
      </c>
      <c r="B141" s="102" t="s">
        <v>1034</v>
      </c>
      <c r="C141" s="102" t="s">
        <v>771</v>
      </c>
      <c r="D141" s="102"/>
      <c r="E141" s="102" t="s">
        <v>772</v>
      </c>
      <c r="F141" s="102"/>
      <c r="G141" s="105">
        <v>10016966</v>
      </c>
      <c r="H141" s="105">
        <v>1430217</v>
      </c>
      <c r="I141" s="100" t="s">
        <v>773</v>
      </c>
      <c r="J141" s="105">
        <v>3</v>
      </c>
      <c r="K141" s="105">
        <v>22</v>
      </c>
      <c r="L141" s="107">
        <v>150000</v>
      </c>
      <c r="M141" s="108">
        <v>44480</v>
      </c>
      <c r="N141" s="108">
        <v>44644</v>
      </c>
      <c r="O141" s="108">
        <v>44644</v>
      </c>
      <c r="P141" s="102" t="s">
        <v>1220</v>
      </c>
      <c r="Q141" s="102" t="s">
        <v>1221</v>
      </c>
      <c r="R141" s="102" t="s">
        <v>1222</v>
      </c>
      <c r="S141" s="102" t="s">
        <v>1223</v>
      </c>
      <c r="T141" s="102" t="s">
        <v>1224</v>
      </c>
      <c r="U141" s="102"/>
      <c r="V141" s="102"/>
      <c r="W141" s="102"/>
      <c r="X141" s="102"/>
      <c r="Y141" s="102" t="s">
        <v>779</v>
      </c>
      <c r="Z141" s="102" t="s">
        <v>780</v>
      </c>
      <c r="AA141" s="102" t="s">
        <v>781</v>
      </c>
      <c r="AB141" s="102" t="s">
        <v>782</v>
      </c>
      <c r="AC141" s="102" t="s">
        <v>1039</v>
      </c>
      <c r="AD141" s="102" t="s">
        <v>1225</v>
      </c>
      <c r="AE141" s="102"/>
      <c r="AF141" s="102"/>
    </row>
    <row r="142" spans="1:32">
      <c r="A142" s="103" t="s">
        <v>740</v>
      </c>
      <c r="B142" s="103"/>
      <c r="C142" s="103"/>
      <c r="D142" s="103"/>
      <c r="E142" s="103"/>
      <c r="F142" s="103"/>
      <c r="G142" s="103"/>
      <c r="H142" s="103"/>
      <c r="I142" s="103"/>
      <c r="J142" s="103"/>
      <c r="K142" s="103"/>
      <c r="L142" s="111">
        <v>-2961930.53</v>
      </c>
      <c r="M142" s="103"/>
      <c r="N142" s="103"/>
      <c r="O142" s="103"/>
      <c r="P142" s="103"/>
      <c r="Q142" s="103"/>
      <c r="R142" s="103"/>
      <c r="S142" s="103"/>
      <c r="T142" s="103"/>
      <c r="U142" s="103"/>
      <c r="V142" s="103"/>
      <c r="W142" s="103"/>
      <c r="X142" s="103"/>
      <c r="Y142" s="103"/>
      <c r="Z142" s="103"/>
      <c r="AA142" s="103"/>
      <c r="AB142" s="103"/>
      <c r="AC142" s="103"/>
      <c r="AD142" s="103"/>
      <c r="AE142" s="103"/>
      <c r="AF142" s="103"/>
    </row>
    <row r="143" spans="1:32">
      <c r="G143" s="112"/>
      <c r="H143" s="112"/>
      <c r="J143" s="112"/>
      <c r="K143" s="112"/>
    </row>
    <row r="144" spans="1:32" ht="31.5">
      <c r="A144" s="97" t="s">
        <v>735</v>
      </c>
      <c r="B144" s="97" t="s">
        <v>688</v>
      </c>
      <c r="C144" s="97" t="s">
        <v>741</v>
      </c>
      <c r="D144" s="97" t="s">
        <v>742</v>
      </c>
      <c r="E144" s="97" t="s">
        <v>743</v>
      </c>
      <c r="F144" s="97" t="s">
        <v>744</v>
      </c>
      <c r="G144" s="97" t="s">
        <v>745</v>
      </c>
      <c r="H144" s="97" t="s">
        <v>746</v>
      </c>
      <c r="I144" s="97" t="s">
        <v>747</v>
      </c>
      <c r="J144" s="97" t="s">
        <v>748</v>
      </c>
      <c r="K144" s="97" t="s">
        <v>749</v>
      </c>
      <c r="L144" s="97" t="s">
        <v>750</v>
      </c>
      <c r="M144" s="97" t="s">
        <v>752</v>
      </c>
      <c r="N144" s="97" t="s">
        <v>10</v>
      </c>
      <c r="O144" s="97" t="s">
        <v>753</v>
      </c>
      <c r="P144" s="97" t="s">
        <v>754</v>
      </c>
      <c r="Q144" s="97" t="s">
        <v>755</v>
      </c>
      <c r="R144" s="97" t="s">
        <v>756</v>
      </c>
      <c r="S144" s="97" t="s">
        <v>757</v>
      </c>
      <c r="T144" s="97" t="s">
        <v>758</v>
      </c>
      <c r="U144" s="97" t="s">
        <v>759</v>
      </c>
      <c r="V144" s="97" t="s">
        <v>760</v>
      </c>
      <c r="W144" s="97" t="s">
        <v>761</v>
      </c>
      <c r="X144" s="97" t="s">
        <v>762</v>
      </c>
      <c r="Y144" s="97" t="s">
        <v>763</v>
      </c>
      <c r="Z144" s="97" t="s">
        <v>764</v>
      </c>
      <c r="AA144" s="97" t="s">
        <v>765</v>
      </c>
      <c r="AB144" s="97" t="s">
        <v>766</v>
      </c>
      <c r="AC144" s="97" t="s">
        <v>767</v>
      </c>
      <c r="AD144" s="97" t="s">
        <v>751</v>
      </c>
      <c r="AE144" s="97" t="s">
        <v>768</v>
      </c>
      <c r="AF144" s="97" t="s">
        <v>769</v>
      </c>
    </row>
    <row r="145" spans="1:32">
      <c r="A145" s="100" t="s">
        <v>739</v>
      </c>
      <c r="B145" s="100" t="s">
        <v>770</v>
      </c>
      <c r="C145" s="100" t="s">
        <v>771</v>
      </c>
      <c r="D145" s="100"/>
      <c r="E145" s="100" t="s">
        <v>772</v>
      </c>
      <c r="F145" s="100"/>
      <c r="G145" s="105">
        <v>10028752</v>
      </c>
      <c r="H145" s="105">
        <v>1433510</v>
      </c>
      <c r="I145" s="100" t="s">
        <v>773</v>
      </c>
      <c r="J145" s="105">
        <v>4</v>
      </c>
      <c r="K145" s="105">
        <v>22</v>
      </c>
      <c r="L145" s="101">
        <v>21642.5</v>
      </c>
      <c r="M145" s="106">
        <v>44655</v>
      </c>
      <c r="N145" s="106">
        <v>44673</v>
      </c>
      <c r="O145" s="106">
        <v>44673</v>
      </c>
      <c r="P145" s="100" t="s">
        <v>775</v>
      </c>
      <c r="Q145" s="100" t="s">
        <v>236</v>
      </c>
      <c r="R145" s="100" t="s">
        <v>1226</v>
      </c>
      <c r="S145" s="100" t="s">
        <v>777</v>
      </c>
      <c r="T145" s="100" t="s">
        <v>778</v>
      </c>
      <c r="U145" s="100"/>
      <c r="V145" s="100"/>
      <c r="W145" s="100"/>
      <c r="X145" s="100"/>
      <c r="Y145" s="100" t="s">
        <v>779</v>
      </c>
      <c r="Z145" s="100" t="s">
        <v>780</v>
      </c>
      <c r="AA145" s="100" t="s">
        <v>781</v>
      </c>
      <c r="AB145" s="100" t="s">
        <v>782</v>
      </c>
      <c r="AC145" s="100" t="s">
        <v>783</v>
      </c>
      <c r="AD145" s="100" t="s">
        <v>774</v>
      </c>
      <c r="AE145" s="100"/>
      <c r="AF145" s="100"/>
    </row>
    <row r="146" spans="1:32">
      <c r="A146" s="100" t="s">
        <v>739</v>
      </c>
      <c r="B146" s="100" t="s">
        <v>770</v>
      </c>
      <c r="C146" s="100" t="s">
        <v>771</v>
      </c>
      <c r="D146" s="100"/>
      <c r="E146" s="100" t="s">
        <v>786</v>
      </c>
      <c r="F146" s="100"/>
      <c r="G146" s="105">
        <v>10024017</v>
      </c>
      <c r="H146" s="105">
        <v>18965781</v>
      </c>
      <c r="I146" s="100" t="s">
        <v>807</v>
      </c>
      <c r="J146" s="105">
        <v>4</v>
      </c>
      <c r="K146" s="105">
        <v>22</v>
      </c>
      <c r="L146" s="101">
        <v>-167140.32</v>
      </c>
      <c r="M146" s="106">
        <v>44681</v>
      </c>
      <c r="N146" s="106">
        <v>44681</v>
      </c>
      <c r="O146" s="106">
        <v>44662</v>
      </c>
      <c r="P146" s="100" t="s">
        <v>1227</v>
      </c>
      <c r="Q146" s="100" t="s">
        <v>1228</v>
      </c>
      <c r="R146" s="100"/>
      <c r="S146" s="100">
        <v>0</v>
      </c>
      <c r="T146" s="100" t="s">
        <v>1229</v>
      </c>
      <c r="U146" s="100"/>
      <c r="V146" s="100"/>
      <c r="W146" s="100"/>
      <c r="X146" s="100"/>
      <c r="Y146" s="100" t="s">
        <v>779</v>
      </c>
      <c r="Z146" s="100" t="s">
        <v>780</v>
      </c>
      <c r="AA146" s="100" t="s">
        <v>1111</v>
      </c>
      <c r="AB146" s="100" t="s">
        <v>782</v>
      </c>
      <c r="AC146" s="100" t="s">
        <v>783</v>
      </c>
      <c r="AD146" s="100" t="s">
        <v>1230</v>
      </c>
      <c r="AE146" s="100"/>
      <c r="AF146" s="100"/>
    </row>
    <row r="147" spans="1:32">
      <c r="A147" s="100" t="s">
        <v>739</v>
      </c>
      <c r="B147" s="100" t="s">
        <v>785</v>
      </c>
      <c r="C147" s="100" t="s">
        <v>771</v>
      </c>
      <c r="D147" s="100"/>
      <c r="E147" s="100" t="s">
        <v>772</v>
      </c>
      <c r="F147" s="100"/>
      <c r="G147" s="105">
        <v>10028197</v>
      </c>
      <c r="H147" s="105">
        <v>1433238</v>
      </c>
      <c r="I147" s="100" t="s">
        <v>773</v>
      </c>
      <c r="J147" s="105">
        <v>4</v>
      </c>
      <c r="K147" s="105">
        <v>22</v>
      </c>
      <c r="L147" s="101">
        <v>282800</v>
      </c>
      <c r="M147" s="106">
        <v>44652</v>
      </c>
      <c r="N147" s="106">
        <v>44672</v>
      </c>
      <c r="O147" s="106">
        <v>44672</v>
      </c>
      <c r="P147" s="100" t="s">
        <v>1231</v>
      </c>
      <c r="Q147" s="100" t="s">
        <v>202</v>
      </c>
      <c r="R147" s="100" t="s">
        <v>1232</v>
      </c>
      <c r="S147" s="100" t="s">
        <v>1233</v>
      </c>
      <c r="T147" s="100" t="s">
        <v>1234</v>
      </c>
      <c r="U147" s="100"/>
      <c r="V147" s="100"/>
      <c r="W147" s="100"/>
      <c r="X147" s="100"/>
      <c r="Y147" s="100" t="s">
        <v>779</v>
      </c>
      <c r="Z147" s="100" t="s">
        <v>780</v>
      </c>
      <c r="AA147" s="100" t="s">
        <v>781</v>
      </c>
      <c r="AB147" s="100" t="s">
        <v>782</v>
      </c>
      <c r="AC147" s="100" t="s">
        <v>794</v>
      </c>
      <c r="AD147" s="100" t="s">
        <v>1235</v>
      </c>
      <c r="AE147" s="100"/>
      <c r="AF147" s="100"/>
    </row>
    <row r="148" spans="1:32">
      <c r="A148" s="100" t="s">
        <v>739</v>
      </c>
      <c r="B148" s="100" t="s">
        <v>785</v>
      </c>
      <c r="C148" s="100" t="s">
        <v>771</v>
      </c>
      <c r="D148" s="100"/>
      <c r="E148" s="100" t="s">
        <v>772</v>
      </c>
      <c r="F148" s="100"/>
      <c r="G148" s="105">
        <v>10030026</v>
      </c>
      <c r="H148" s="105">
        <v>1433973</v>
      </c>
      <c r="I148" s="100" t="s">
        <v>773</v>
      </c>
      <c r="J148" s="105">
        <v>4</v>
      </c>
      <c r="K148" s="105">
        <v>22</v>
      </c>
      <c r="L148" s="101">
        <v>462857.14</v>
      </c>
      <c r="M148" s="106">
        <v>44655</v>
      </c>
      <c r="N148" s="106">
        <v>44677</v>
      </c>
      <c r="O148" s="106">
        <v>44677</v>
      </c>
      <c r="P148" s="100" t="s">
        <v>1023</v>
      </c>
      <c r="Q148" s="100" t="s">
        <v>336</v>
      </c>
      <c r="R148" s="100" t="s">
        <v>1236</v>
      </c>
      <c r="S148" s="100" t="s">
        <v>1025</v>
      </c>
      <c r="T148" s="100" t="s">
        <v>1026</v>
      </c>
      <c r="U148" s="100"/>
      <c r="V148" s="100"/>
      <c r="W148" s="100"/>
      <c r="X148" s="100"/>
      <c r="Y148" s="100" t="s">
        <v>779</v>
      </c>
      <c r="Z148" s="100" t="s">
        <v>780</v>
      </c>
      <c r="AA148" s="100" t="s">
        <v>781</v>
      </c>
      <c r="AB148" s="100" t="s">
        <v>782</v>
      </c>
      <c r="AC148" s="100" t="s">
        <v>794</v>
      </c>
      <c r="AD148" s="100" t="s">
        <v>1027</v>
      </c>
      <c r="AE148" s="100"/>
      <c r="AF148" s="100"/>
    </row>
    <row r="149" spans="1:32">
      <c r="A149" s="100" t="s">
        <v>739</v>
      </c>
      <c r="B149" s="100" t="s">
        <v>785</v>
      </c>
      <c r="C149" s="100" t="s">
        <v>771</v>
      </c>
      <c r="D149" s="100"/>
      <c r="E149" s="100" t="s">
        <v>786</v>
      </c>
      <c r="F149" s="100"/>
      <c r="G149" s="105">
        <v>10022665</v>
      </c>
      <c r="H149" s="105">
        <v>18965557</v>
      </c>
      <c r="I149" s="100" t="s">
        <v>807</v>
      </c>
      <c r="J149" s="105">
        <v>4</v>
      </c>
      <c r="K149" s="105">
        <v>22</v>
      </c>
      <c r="L149" s="101">
        <v>-30000</v>
      </c>
      <c r="M149" s="106">
        <v>44681</v>
      </c>
      <c r="N149" s="106">
        <v>44681</v>
      </c>
      <c r="O149" s="106">
        <v>44658</v>
      </c>
      <c r="P149" s="100" t="s">
        <v>1237</v>
      </c>
      <c r="Q149" s="100" t="s">
        <v>1238</v>
      </c>
      <c r="R149" s="100"/>
      <c r="S149" s="100">
        <v>0</v>
      </c>
      <c r="T149" s="100" t="s">
        <v>1239</v>
      </c>
      <c r="U149" s="100"/>
      <c r="V149" s="100"/>
      <c r="W149" s="100"/>
      <c r="X149" s="100"/>
      <c r="Y149" s="100" t="s">
        <v>779</v>
      </c>
      <c r="Z149" s="100" t="s">
        <v>780</v>
      </c>
      <c r="AA149" s="100" t="s">
        <v>1111</v>
      </c>
      <c r="AB149" s="100" t="s">
        <v>782</v>
      </c>
      <c r="AC149" s="100" t="s">
        <v>794</v>
      </c>
      <c r="AD149" s="100" t="s">
        <v>1240</v>
      </c>
      <c r="AE149" s="100"/>
      <c r="AF149" s="100"/>
    </row>
    <row r="150" spans="1:32">
      <c r="A150" s="100" t="s">
        <v>739</v>
      </c>
      <c r="B150" s="100" t="s">
        <v>785</v>
      </c>
      <c r="C150" s="100" t="s">
        <v>771</v>
      </c>
      <c r="D150" s="100"/>
      <c r="E150" s="100" t="s">
        <v>786</v>
      </c>
      <c r="F150" s="100"/>
      <c r="G150" s="105">
        <v>10022864</v>
      </c>
      <c r="H150" s="105">
        <v>18965600</v>
      </c>
      <c r="I150" s="100" t="s">
        <v>807</v>
      </c>
      <c r="J150" s="105">
        <v>4</v>
      </c>
      <c r="K150" s="105">
        <v>22</v>
      </c>
      <c r="L150" s="101">
        <v>-1825000</v>
      </c>
      <c r="M150" s="106">
        <v>44681</v>
      </c>
      <c r="N150" s="106">
        <v>44681</v>
      </c>
      <c r="O150" s="106">
        <v>44658</v>
      </c>
      <c r="P150" s="100" t="s">
        <v>1241</v>
      </c>
      <c r="Q150" s="100" t="s">
        <v>1242</v>
      </c>
      <c r="R150" s="100"/>
      <c r="S150" s="100">
        <v>0</v>
      </c>
      <c r="T150" s="100" t="s">
        <v>1243</v>
      </c>
      <c r="U150" s="100"/>
      <c r="V150" s="100"/>
      <c r="W150" s="100"/>
      <c r="X150" s="100"/>
      <c r="Y150" s="100" t="s">
        <v>779</v>
      </c>
      <c r="Z150" s="100" t="s">
        <v>780</v>
      </c>
      <c r="AA150" s="100" t="s">
        <v>1111</v>
      </c>
      <c r="AB150" s="100" t="s">
        <v>782</v>
      </c>
      <c r="AC150" s="100" t="s">
        <v>794</v>
      </c>
      <c r="AD150" s="100" t="s">
        <v>1244</v>
      </c>
      <c r="AE150" s="100"/>
      <c r="AF150" s="100"/>
    </row>
    <row r="151" spans="1:32">
      <c r="A151" s="100" t="s">
        <v>739</v>
      </c>
      <c r="B151" s="100" t="s">
        <v>795</v>
      </c>
      <c r="C151" s="100" t="s">
        <v>771</v>
      </c>
      <c r="D151" s="100"/>
      <c r="E151" s="100" t="s">
        <v>786</v>
      </c>
      <c r="F151" s="100"/>
      <c r="G151" s="105">
        <v>10019564</v>
      </c>
      <c r="H151" s="105">
        <v>18962051</v>
      </c>
      <c r="I151" s="100" t="s">
        <v>807</v>
      </c>
      <c r="J151" s="105">
        <v>4</v>
      </c>
      <c r="K151" s="105">
        <v>22</v>
      </c>
      <c r="L151" s="101">
        <v>114775</v>
      </c>
      <c r="M151" s="106">
        <v>44652</v>
      </c>
      <c r="N151" s="106">
        <v>44652</v>
      </c>
      <c r="O151" s="106">
        <v>44652</v>
      </c>
      <c r="P151" s="100" t="s">
        <v>1245</v>
      </c>
      <c r="Q151" s="100" t="s">
        <v>1246</v>
      </c>
      <c r="R151" s="100"/>
      <c r="S151" s="100">
        <v>0</v>
      </c>
      <c r="T151" s="100" t="s">
        <v>1247</v>
      </c>
      <c r="U151" s="100"/>
      <c r="V151" s="100"/>
      <c r="W151" s="100" t="s">
        <v>811</v>
      </c>
      <c r="X151" s="100"/>
      <c r="Y151" s="100" t="s">
        <v>779</v>
      </c>
      <c r="Z151" s="100" t="s">
        <v>780</v>
      </c>
      <c r="AA151" s="100" t="s">
        <v>812</v>
      </c>
      <c r="AB151" s="100" t="s">
        <v>782</v>
      </c>
      <c r="AC151" s="100" t="s">
        <v>801</v>
      </c>
      <c r="AD151" s="100" t="s">
        <v>1248</v>
      </c>
      <c r="AE151" s="100"/>
      <c r="AF151" s="100"/>
    </row>
    <row r="152" spans="1:32">
      <c r="A152" s="100" t="s">
        <v>739</v>
      </c>
      <c r="B152" s="100" t="s">
        <v>795</v>
      </c>
      <c r="C152" s="100" t="s">
        <v>771</v>
      </c>
      <c r="D152" s="100"/>
      <c r="E152" s="100" t="s">
        <v>786</v>
      </c>
      <c r="F152" s="100"/>
      <c r="G152" s="105">
        <v>10019564</v>
      </c>
      <c r="H152" s="105">
        <v>18962051</v>
      </c>
      <c r="I152" s="100" t="s">
        <v>807</v>
      </c>
      <c r="J152" s="105">
        <v>4</v>
      </c>
      <c r="K152" s="105">
        <v>22</v>
      </c>
      <c r="L152" s="101">
        <v>148000</v>
      </c>
      <c r="M152" s="106">
        <v>44652</v>
      </c>
      <c r="N152" s="106">
        <v>44652</v>
      </c>
      <c r="O152" s="106">
        <v>44652</v>
      </c>
      <c r="P152" s="100" t="s">
        <v>1249</v>
      </c>
      <c r="Q152" s="100" t="s">
        <v>1246</v>
      </c>
      <c r="R152" s="100"/>
      <c r="S152" s="100">
        <v>0</v>
      </c>
      <c r="T152" s="100" t="s">
        <v>1250</v>
      </c>
      <c r="U152" s="100"/>
      <c r="V152" s="100"/>
      <c r="W152" s="100" t="s">
        <v>811</v>
      </c>
      <c r="X152" s="100"/>
      <c r="Y152" s="100" t="s">
        <v>779</v>
      </c>
      <c r="Z152" s="100" t="s">
        <v>780</v>
      </c>
      <c r="AA152" s="100" t="s">
        <v>812</v>
      </c>
      <c r="AB152" s="100" t="s">
        <v>782</v>
      </c>
      <c r="AC152" s="100" t="s">
        <v>801</v>
      </c>
      <c r="AD152" s="100" t="s">
        <v>1251</v>
      </c>
      <c r="AE152" s="100"/>
      <c r="AF152" s="100"/>
    </row>
    <row r="153" spans="1:32">
      <c r="A153" s="100" t="s">
        <v>739</v>
      </c>
      <c r="B153" s="100" t="s">
        <v>795</v>
      </c>
      <c r="C153" s="100" t="s">
        <v>771</v>
      </c>
      <c r="D153" s="100"/>
      <c r="E153" s="100" t="s">
        <v>786</v>
      </c>
      <c r="F153" s="100"/>
      <c r="G153" s="105">
        <v>10021163</v>
      </c>
      <c r="H153" s="105">
        <v>18962100</v>
      </c>
      <c r="I153" s="100" t="s">
        <v>807</v>
      </c>
      <c r="J153" s="105">
        <v>4</v>
      </c>
      <c r="K153" s="105">
        <v>22</v>
      </c>
      <c r="L153" s="101">
        <v>-110100</v>
      </c>
      <c r="M153" s="106">
        <v>44652</v>
      </c>
      <c r="N153" s="106">
        <v>44652</v>
      </c>
      <c r="O153" s="106">
        <v>44655</v>
      </c>
      <c r="P153" s="100" t="s">
        <v>1252</v>
      </c>
      <c r="Q153" s="100" t="s">
        <v>1252</v>
      </c>
      <c r="R153" s="100"/>
      <c r="S153" s="100">
        <v>0</v>
      </c>
      <c r="T153" s="100" t="s">
        <v>1253</v>
      </c>
      <c r="U153" s="100"/>
      <c r="V153" s="100"/>
      <c r="W153" s="100" t="s">
        <v>811</v>
      </c>
      <c r="X153" s="100"/>
      <c r="Y153" s="100" t="s">
        <v>779</v>
      </c>
      <c r="Z153" s="100" t="s">
        <v>780</v>
      </c>
      <c r="AA153" s="100" t="s">
        <v>812</v>
      </c>
      <c r="AB153" s="100" t="s">
        <v>782</v>
      </c>
      <c r="AC153" s="100" t="s">
        <v>801</v>
      </c>
      <c r="AD153" s="100" t="s">
        <v>1254</v>
      </c>
      <c r="AE153" s="100"/>
      <c r="AF153" s="100"/>
    </row>
    <row r="154" spans="1:32">
      <c r="A154" s="100" t="s">
        <v>739</v>
      </c>
      <c r="B154" s="100" t="s">
        <v>813</v>
      </c>
      <c r="C154" s="100" t="s">
        <v>771</v>
      </c>
      <c r="D154" s="100"/>
      <c r="E154" s="100" t="s">
        <v>786</v>
      </c>
      <c r="F154" s="100"/>
      <c r="G154" s="105">
        <v>10025788</v>
      </c>
      <c r="H154" s="105">
        <v>18966085</v>
      </c>
      <c r="I154" s="100" t="s">
        <v>807</v>
      </c>
      <c r="J154" s="105">
        <v>4</v>
      </c>
      <c r="K154" s="105">
        <v>22</v>
      </c>
      <c r="L154" s="101">
        <v>-150000</v>
      </c>
      <c r="M154" s="106">
        <v>44681</v>
      </c>
      <c r="N154" s="106">
        <v>44681</v>
      </c>
      <c r="O154" s="106">
        <v>44665</v>
      </c>
      <c r="P154" s="100" t="s">
        <v>1255</v>
      </c>
      <c r="Q154" s="100" t="s">
        <v>1256</v>
      </c>
      <c r="R154" s="100"/>
      <c r="S154" s="100">
        <v>0</v>
      </c>
      <c r="T154" s="100" t="s">
        <v>1257</v>
      </c>
      <c r="U154" s="100"/>
      <c r="V154" s="100"/>
      <c r="W154" s="100" t="s">
        <v>827</v>
      </c>
      <c r="X154" s="100"/>
      <c r="Y154" s="100" t="s">
        <v>779</v>
      </c>
      <c r="Z154" s="100" t="s">
        <v>780</v>
      </c>
      <c r="AA154" s="100" t="s">
        <v>1020</v>
      </c>
      <c r="AB154" s="100" t="s">
        <v>782</v>
      </c>
      <c r="AC154" s="100" t="s">
        <v>817</v>
      </c>
      <c r="AD154" s="100" t="s">
        <v>1258</v>
      </c>
      <c r="AE154" s="100"/>
      <c r="AF154" s="100"/>
    </row>
    <row r="155" spans="1:32">
      <c r="A155" s="100" t="s">
        <v>739</v>
      </c>
      <c r="B155" s="100" t="s">
        <v>813</v>
      </c>
      <c r="C155" s="100" t="s">
        <v>771</v>
      </c>
      <c r="D155" s="100"/>
      <c r="E155" s="100" t="s">
        <v>786</v>
      </c>
      <c r="F155" s="100"/>
      <c r="G155" s="105">
        <v>10025788</v>
      </c>
      <c r="H155" s="105">
        <v>18966085</v>
      </c>
      <c r="I155" s="100" t="s">
        <v>807</v>
      </c>
      <c r="J155" s="105">
        <v>4</v>
      </c>
      <c r="K155" s="105">
        <v>22</v>
      </c>
      <c r="L155" s="101">
        <v>-763400</v>
      </c>
      <c r="M155" s="106">
        <v>44681</v>
      </c>
      <c r="N155" s="106">
        <v>44681</v>
      </c>
      <c r="O155" s="106">
        <v>44665</v>
      </c>
      <c r="P155" s="100" t="s">
        <v>1259</v>
      </c>
      <c r="Q155" s="100" t="s">
        <v>1256</v>
      </c>
      <c r="R155" s="100"/>
      <c r="S155" s="100">
        <v>0</v>
      </c>
      <c r="T155" s="100" t="s">
        <v>1205</v>
      </c>
      <c r="U155" s="100"/>
      <c r="V155" s="100"/>
      <c r="W155" s="100" t="s">
        <v>827</v>
      </c>
      <c r="X155" s="100"/>
      <c r="Y155" s="100" t="s">
        <v>779</v>
      </c>
      <c r="Z155" s="100" t="s">
        <v>780</v>
      </c>
      <c r="AA155" s="100" t="s">
        <v>1020</v>
      </c>
      <c r="AB155" s="100" t="s">
        <v>782</v>
      </c>
      <c r="AC155" s="100" t="s">
        <v>817</v>
      </c>
      <c r="AD155" s="100" t="s">
        <v>1206</v>
      </c>
      <c r="AE155" s="100"/>
      <c r="AF155" s="100"/>
    </row>
    <row r="156" spans="1:32">
      <c r="A156" s="100" t="s">
        <v>736</v>
      </c>
      <c r="B156" s="100" t="s">
        <v>818</v>
      </c>
      <c r="C156" s="100" t="s">
        <v>771</v>
      </c>
      <c r="D156" s="100"/>
      <c r="E156" s="100" t="s">
        <v>786</v>
      </c>
      <c r="F156" s="100"/>
      <c r="G156" s="105">
        <v>10030894</v>
      </c>
      <c r="H156" s="105">
        <v>19009103</v>
      </c>
      <c r="I156" s="100" t="s">
        <v>807</v>
      </c>
      <c r="J156" s="105">
        <v>4</v>
      </c>
      <c r="K156" s="105">
        <v>22</v>
      </c>
      <c r="L156" s="101">
        <v>-1462500</v>
      </c>
      <c r="M156" s="106">
        <v>44679</v>
      </c>
      <c r="N156" s="106">
        <v>44679</v>
      </c>
      <c r="O156" s="106">
        <v>44679</v>
      </c>
      <c r="P156" s="100" t="s">
        <v>1260</v>
      </c>
      <c r="Q156" s="100" t="s">
        <v>1260</v>
      </c>
      <c r="R156" s="100"/>
      <c r="S156" s="100">
        <v>0</v>
      </c>
      <c r="T156" s="100" t="s">
        <v>822</v>
      </c>
      <c r="U156" s="100"/>
      <c r="V156" s="100"/>
      <c r="W156" s="100" t="s">
        <v>811</v>
      </c>
      <c r="X156" s="100"/>
      <c r="Y156" s="100" t="s">
        <v>779</v>
      </c>
      <c r="Z156" s="100" t="s">
        <v>780</v>
      </c>
      <c r="AA156" s="100" t="s">
        <v>1261</v>
      </c>
      <c r="AB156" s="100" t="s">
        <v>1112</v>
      </c>
      <c r="AC156" s="100" t="s">
        <v>823</v>
      </c>
      <c r="AD156" s="100" t="s">
        <v>1262</v>
      </c>
      <c r="AE156" s="100"/>
      <c r="AF156" s="100"/>
    </row>
    <row r="157" spans="1:32">
      <c r="A157" s="100" t="s">
        <v>736</v>
      </c>
      <c r="B157" s="100" t="s">
        <v>1263</v>
      </c>
      <c r="C157" s="100" t="s">
        <v>771</v>
      </c>
      <c r="D157" s="100"/>
      <c r="E157" s="100" t="s">
        <v>786</v>
      </c>
      <c r="F157" s="100"/>
      <c r="G157" s="105">
        <v>10027875</v>
      </c>
      <c r="H157" s="105">
        <v>18966405</v>
      </c>
      <c r="I157" s="100" t="s">
        <v>807</v>
      </c>
      <c r="J157" s="105">
        <v>4</v>
      </c>
      <c r="K157" s="105">
        <v>22</v>
      </c>
      <c r="L157" s="101">
        <v>328.75</v>
      </c>
      <c r="M157" s="106">
        <v>44652</v>
      </c>
      <c r="N157" s="106">
        <v>44652</v>
      </c>
      <c r="O157" s="106">
        <v>44671</v>
      </c>
      <c r="P157" s="100" t="s">
        <v>1264</v>
      </c>
      <c r="Q157" s="100" t="s">
        <v>1265</v>
      </c>
      <c r="R157" s="100"/>
      <c r="S157" s="100">
        <v>0</v>
      </c>
      <c r="T157" s="100" t="s">
        <v>1266</v>
      </c>
      <c r="U157" s="100"/>
      <c r="V157" s="100"/>
      <c r="W157" s="100" t="s">
        <v>827</v>
      </c>
      <c r="X157" s="100"/>
      <c r="Y157" s="100" t="s">
        <v>779</v>
      </c>
      <c r="Z157" s="100" t="s">
        <v>780</v>
      </c>
      <c r="AA157" s="100" t="s">
        <v>983</v>
      </c>
      <c r="AB157" s="100" t="s">
        <v>964</v>
      </c>
      <c r="AC157" s="100" t="s">
        <v>1267</v>
      </c>
      <c r="AD157" s="100" t="s">
        <v>1268</v>
      </c>
      <c r="AE157" s="100"/>
      <c r="AF157" s="100"/>
    </row>
    <row r="158" spans="1:32">
      <c r="A158" s="100" t="s">
        <v>736</v>
      </c>
      <c r="B158" s="100" t="s">
        <v>1269</v>
      </c>
      <c r="C158" s="100" t="s">
        <v>771</v>
      </c>
      <c r="D158" s="100"/>
      <c r="E158" s="100" t="s">
        <v>786</v>
      </c>
      <c r="F158" s="100"/>
      <c r="G158" s="105">
        <v>10012319</v>
      </c>
      <c r="H158" s="105">
        <v>18960702</v>
      </c>
      <c r="I158" s="100" t="s">
        <v>807</v>
      </c>
      <c r="J158" s="105">
        <v>4</v>
      </c>
      <c r="K158" s="105">
        <v>22</v>
      </c>
      <c r="L158" s="101">
        <v>100968</v>
      </c>
      <c r="M158" s="106">
        <v>44652</v>
      </c>
      <c r="N158" s="106">
        <v>44652</v>
      </c>
      <c r="O158" s="106">
        <v>44634</v>
      </c>
      <c r="P158" s="100" t="s">
        <v>1270</v>
      </c>
      <c r="Q158" s="100" t="s">
        <v>1270</v>
      </c>
      <c r="R158" s="100"/>
      <c r="S158" s="100">
        <v>0</v>
      </c>
      <c r="T158" s="100"/>
      <c r="U158" s="100"/>
      <c r="V158" s="100"/>
      <c r="W158" s="100"/>
      <c r="X158" s="100"/>
      <c r="Y158" s="100" t="s">
        <v>779</v>
      </c>
      <c r="Z158" s="100" t="s">
        <v>780</v>
      </c>
      <c r="AA158" s="100" t="s">
        <v>1271</v>
      </c>
      <c r="AB158" s="100" t="s">
        <v>1000</v>
      </c>
      <c r="AC158" s="100" t="s">
        <v>1272</v>
      </c>
      <c r="AD158" s="100"/>
      <c r="AE158" s="100"/>
      <c r="AF158" s="100"/>
    </row>
    <row r="159" spans="1:32">
      <c r="A159" s="100" t="s">
        <v>736</v>
      </c>
      <c r="B159" s="100" t="s">
        <v>1269</v>
      </c>
      <c r="C159" s="100" t="s">
        <v>771</v>
      </c>
      <c r="D159" s="100"/>
      <c r="E159" s="100" t="s">
        <v>786</v>
      </c>
      <c r="F159" s="100"/>
      <c r="G159" s="105">
        <v>10012319</v>
      </c>
      <c r="H159" s="105">
        <v>18960702</v>
      </c>
      <c r="I159" s="100" t="s">
        <v>807</v>
      </c>
      <c r="J159" s="105">
        <v>4</v>
      </c>
      <c r="K159" s="105">
        <v>22</v>
      </c>
      <c r="L159" s="101">
        <v>200000</v>
      </c>
      <c r="M159" s="106">
        <v>44652</v>
      </c>
      <c r="N159" s="106">
        <v>44652</v>
      </c>
      <c r="O159" s="106">
        <v>44634</v>
      </c>
      <c r="P159" s="100" t="s">
        <v>1270</v>
      </c>
      <c r="Q159" s="100" t="s">
        <v>1270</v>
      </c>
      <c r="R159" s="100"/>
      <c r="S159" s="100">
        <v>0</v>
      </c>
      <c r="T159" s="100" t="s">
        <v>1273</v>
      </c>
      <c r="U159" s="100"/>
      <c r="V159" s="100"/>
      <c r="W159" s="100"/>
      <c r="X159" s="100"/>
      <c r="Y159" s="100" t="s">
        <v>779</v>
      </c>
      <c r="Z159" s="100" t="s">
        <v>780</v>
      </c>
      <c r="AA159" s="100" t="s">
        <v>1271</v>
      </c>
      <c r="AB159" s="100" t="s">
        <v>1000</v>
      </c>
      <c r="AC159" s="100" t="s">
        <v>1272</v>
      </c>
      <c r="AD159" s="100"/>
      <c r="AE159" s="100"/>
      <c r="AF159" s="100"/>
    </row>
    <row r="160" spans="1:32">
      <c r="A160" s="100" t="s">
        <v>736</v>
      </c>
      <c r="B160" s="100" t="s">
        <v>1269</v>
      </c>
      <c r="C160" s="100" t="s">
        <v>771</v>
      </c>
      <c r="D160" s="100"/>
      <c r="E160" s="100" t="s">
        <v>786</v>
      </c>
      <c r="F160" s="100"/>
      <c r="G160" s="105">
        <v>10012319</v>
      </c>
      <c r="H160" s="105">
        <v>18960702</v>
      </c>
      <c r="I160" s="100" t="s">
        <v>807</v>
      </c>
      <c r="J160" s="105">
        <v>4</v>
      </c>
      <c r="K160" s="105">
        <v>22</v>
      </c>
      <c r="L160" s="101">
        <v>-15000</v>
      </c>
      <c r="M160" s="106">
        <v>44652</v>
      </c>
      <c r="N160" s="106">
        <v>44652</v>
      </c>
      <c r="O160" s="106">
        <v>44634</v>
      </c>
      <c r="P160" s="100" t="s">
        <v>1270</v>
      </c>
      <c r="Q160" s="100" t="s">
        <v>1270</v>
      </c>
      <c r="R160" s="100"/>
      <c r="S160" s="100">
        <v>0</v>
      </c>
      <c r="T160" s="100" t="s">
        <v>1274</v>
      </c>
      <c r="U160" s="100"/>
      <c r="V160" s="100"/>
      <c r="W160" s="100"/>
      <c r="X160" s="100"/>
      <c r="Y160" s="100" t="s">
        <v>779</v>
      </c>
      <c r="Z160" s="100" t="s">
        <v>780</v>
      </c>
      <c r="AA160" s="100" t="s">
        <v>1271</v>
      </c>
      <c r="AB160" s="100" t="s">
        <v>1000</v>
      </c>
      <c r="AC160" s="100" t="s">
        <v>1272</v>
      </c>
      <c r="AD160" s="100"/>
      <c r="AE160" s="100"/>
      <c r="AF160" s="100"/>
    </row>
    <row r="161" spans="1:32">
      <c r="A161" s="100" t="s">
        <v>736</v>
      </c>
      <c r="B161" s="100" t="s">
        <v>1269</v>
      </c>
      <c r="C161" s="100" t="s">
        <v>771</v>
      </c>
      <c r="D161" s="100"/>
      <c r="E161" s="100" t="s">
        <v>786</v>
      </c>
      <c r="F161" s="100"/>
      <c r="G161" s="105">
        <v>10012319</v>
      </c>
      <c r="H161" s="105">
        <v>18960702</v>
      </c>
      <c r="I161" s="100" t="s">
        <v>807</v>
      </c>
      <c r="J161" s="105">
        <v>4</v>
      </c>
      <c r="K161" s="105">
        <v>22</v>
      </c>
      <c r="L161" s="101">
        <v>-10000</v>
      </c>
      <c r="M161" s="106">
        <v>44652</v>
      </c>
      <c r="N161" s="106">
        <v>44652</v>
      </c>
      <c r="O161" s="106">
        <v>44634</v>
      </c>
      <c r="P161" s="100" t="s">
        <v>1270</v>
      </c>
      <c r="Q161" s="100" t="s">
        <v>1270</v>
      </c>
      <c r="R161" s="100"/>
      <c r="S161" s="100">
        <v>0</v>
      </c>
      <c r="T161" s="100" t="s">
        <v>1275</v>
      </c>
      <c r="U161" s="100"/>
      <c r="V161" s="100"/>
      <c r="W161" s="100"/>
      <c r="X161" s="100"/>
      <c r="Y161" s="100" t="s">
        <v>779</v>
      </c>
      <c r="Z161" s="100" t="s">
        <v>780</v>
      </c>
      <c r="AA161" s="100" t="s">
        <v>1271</v>
      </c>
      <c r="AB161" s="100" t="s">
        <v>1000</v>
      </c>
      <c r="AC161" s="100" t="s">
        <v>1272</v>
      </c>
      <c r="AD161" s="100"/>
      <c r="AE161" s="100"/>
      <c r="AF161" s="100"/>
    </row>
    <row r="162" spans="1:32">
      <c r="A162" s="100" t="s">
        <v>736</v>
      </c>
      <c r="B162" s="100" t="s">
        <v>1269</v>
      </c>
      <c r="C162" s="100" t="s">
        <v>771</v>
      </c>
      <c r="D162" s="100"/>
      <c r="E162" s="100" t="s">
        <v>786</v>
      </c>
      <c r="F162" s="100"/>
      <c r="G162" s="105">
        <v>10012319</v>
      </c>
      <c r="H162" s="105">
        <v>18960702</v>
      </c>
      <c r="I162" s="100" t="s">
        <v>807</v>
      </c>
      <c r="J162" s="105">
        <v>4</v>
      </c>
      <c r="K162" s="105">
        <v>22</v>
      </c>
      <c r="L162" s="101">
        <v>-8000</v>
      </c>
      <c r="M162" s="106">
        <v>44652</v>
      </c>
      <c r="N162" s="106">
        <v>44652</v>
      </c>
      <c r="O162" s="106">
        <v>44634</v>
      </c>
      <c r="P162" s="100" t="s">
        <v>1270</v>
      </c>
      <c r="Q162" s="100" t="s">
        <v>1270</v>
      </c>
      <c r="R162" s="100"/>
      <c r="S162" s="100">
        <v>0</v>
      </c>
      <c r="T162" s="100" t="s">
        <v>1276</v>
      </c>
      <c r="U162" s="100"/>
      <c r="V162" s="100"/>
      <c r="W162" s="100"/>
      <c r="X162" s="100"/>
      <c r="Y162" s="100" t="s">
        <v>779</v>
      </c>
      <c r="Z162" s="100" t="s">
        <v>780</v>
      </c>
      <c r="AA162" s="100" t="s">
        <v>1271</v>
      </c>
      <c r="AB162" s="100" t="s">
        <v>1000</v>
      </c>
      <c r="AC162" s="100" t="s">
        <v>1272</v>
      </c>
      <c r="AD162" s="100"/>
      <c r="AE162" s="100"/>
      <c r="AF162" s="100"/>
    </row>
    <row r="163" spans="1:32">
      <c r="A163" s="100" t="s">
        <v>736</v>
      </c>
      <c r="B163" s="100" t="s">
        <v>1269</v>
      </c>
      <c r="C163" s="100" t="s">
        <v>771</v>
      </c>
      <c r="D163" s="100"/>
      <c r="E163" s="100" t="s">
        <v>786</v>
      </c>
      <c r="F163" s="100"/>
      <c r="G163" s="105">
        <v>10012319</v>
      </c>
      <c r="H163" s="105">
        <v>18960702</v>
      </c>
      <c r="I163" s="100" t="s">
        <v>807</v>
      </c>
      <c r="J163" s="105">
        <v>4</v>
      </c>
      <c r="K163" s="105">
        <v>22</v>
      </c>
      <c r="L163" s="101">
        <v>15000</v>
      </c>
      <c r="M163" s="106">
        <v>44652</v>
      </c>
      <c r="N163" s="106">
        <v>44652</v>
      </c>
      <c r="O163" s="106">
        <v>44634</v>
      </c>
      <c r="P163" s="100" t="s">
        <v>1270</v>
      </c>
      <c r="Q163" s="100" t="s">
        <v>1270</v>
      </c>
      <c r="R163" s="100"/>
      <c r="S163" s="100">
        <v>0</v>
      </c>
      <c r="T163" s="100" t="s">
        <v>1277</v>
      </c>
      <c r="U163" s="100"/>
      <c r="V163" s="100"/>
      <c r="W163" s="100"/>
      <c r="X163" s="100"/>
      <c r="Y163" s="100" t="s">
        <v>779</v>
      </c>
      <c r="Z163" s="100" t="s">
        <v>780</v>
      </c>
      <c r="AA163" s="100" t="s">
        <v>1271</v>
      </c>
      <c r="AB163" s="100" t="s">
        <v>1000</v>
      </c>
      <c r="AC163" s="100" t="s">
        <v>1272</v>
      </c>
      <c r="AD163" s="100"/>
      <c r="AE163" s="100"/>
      <c r="AF163" s="100"/>
    </row>
    <row r="164" spans="1:32">
      <c r="A164" s="100" t="s">
        <v>736</v>
      </c>
      <c r="B164" s="100" t="s">
        <v>1269</v>
      </c>
      <c r="C164" s="100" t="s">
        <v>771</v>
      </c>
      <c r="D164" s="100"/>
      <c r="E164" s="100" t="s">
        <v>786</v>
      </c>
      <c r="F164" s="100"/>
      <c r="G164" s="105">
        <v>10012319</v>
      </c>
      <c r="H164" s="105">
        <v>18960702</v>
      </c>
      <c r="I164" s="100" t="s">
        <v>807</v>
      </c>
      <c r="J164" s="105">
        <v>4</v>
      </c>
      <c r="K164" s="105">
        <v>22</v>
      </c>
      <c r="L164" s="101">
        <v>547.34</v>
      </c>
      <c r="M164" s="106">
        <v>44652</v>
      </c>
      <c r="N164" s="106">
        <v>44652</v>
      </c>
      <c r="O164" s="106">
        <v>44634</v>
      </c>
      <c r="P164" s="100" t="s">
        <v>1270</v>
      </c>
      <c r="Q164" s="100" t="s">
        <v>1270</v>
      </c>
      <c r="R164" s="100"/>
      <c r="S164" s="100">
        <v>0</v>
      </c>
      <c r="T164" s="100" t="s">
        <v>1278</v>
      </c>
      <c r="U164" s="100"/>
      <c r="V164" s="100"/>
      <c r="W164" s="100"/>
      <c r="X164" s="100"/>
      <c r="Y164" s="100" t="s">
        <v>779</v>
      </c>
      <c r="Z164" s="100" t="s">
        <v>780</v>
      </c>
      <c r="AA164" s="100" t="s">
        <v>1271</v>
      </c>
      <c r="AB164" s="100" t="s">
        <v>1000</v>
      </c>
      <c r="AC164" s="100" t="s">
        <v>1272</v>
      </c>
      <c r="AD164" s="100"/>
      <c r="AE164" s="100"/>
      <c r="AF164" s="100"/>
    </row>
    <row r="165" spans="1:32">
      <c r="A165" s="100" t="s">
        <v>736</v>
      </c>
      <c r="B165" s="100" t="s">
        <v>1269</v>
      </c>
      <c r="C165" s="100" t="s">
        <v>771</v>
      </c>
      <c r="D165" s="100"/>
      <c r="E165" s="100" t="s">
        <v>786</v>
      </c>
      <c r="F165" s="100"/>
      <c r="G165" s="105">
        <v>10012319</v>
      </c>
      <c r="H165" s="105">
        <v>18960702</v>
      </c>
      <c r="I165" s="100" t="s">
        <v>807</v>
      </c>
      <c r="J165" s="105">
        <v>4</v>
      </c>
      <c r="K165" s="105">
        <v>22</v>
      </c>
      <c r="L165" s="101">
        <v>-2755473</v>
      </c>
      <c r="M165" s="106">
        <v>44652</v>
      </c>
      <c r="N165" s="106">
        <v>44652</v>
      </c>
      <c r="O165" s="106">
        <v>44634</v>
      </c>
      <c r="P165" s="100" t="s">
        <v>1270</v>
      </c>
      <c r="Q165" s="100" t="s">
        <v>1270</v>
      </c>
      <c r="R165" s="100"/>
      <c r="S165" s="100">
        <v>0</v>
      </c>
      <c r="T165" s="100" t="s">
        <v>1279</v>
      </c>
      <c r="U165" s="100"/>
      <c r="V165" s="100"/>
      <c r="W165" s="100"/>
      <c r="X165" s="100"/>
      <c r="Y165" s="100" t="s">
        <v>779</v>
      </c>
      <c r="Z165" s="100" t="s">
        <v>780</v>
      </c>
      <c r="AA165" s="100" t="s">
        <v>1271</v>
      </c>
      <c r="AB165" s="100" t="s">
        <v>1000</v>
      </c>
      <c r="AC165" s="100" t="s">
        <v>1272</v>
      </c>
      <c r="AD165" s="100"/>
      <c r="AE165" s="100"/>
      <c r="AF165" s="100"/>
    </row>
    <row r="166" spans="1:32">
      <c r="A166" s="100" t="s">
        <v>736</v>
      </c>
      <c r="B166" s="100" t="s">
        <v>1269</v>
      </c>
      <c r="C166" s="100" t="s">
        <v>771</v>
      </c>
      <c r="D166" s="100"/>
      <c r="E166" s="100" t="s">
        <v>786</v>
      </c>
      <c r="F166" s="100"/>
      <c r="G166" s="105">
        <v>10012319</v>
      </c>
      <c r="H166" s="105">
        <v>18960702</v>
      </c>
      <c r="I166" s="100" t="s">
        <v>807</v>
      </c>
      <c r="J166" s="105">
        <v>4</v>
      </c>
      <c r="K166" s="105">
        <v>22</v>
      </c>
      <c r="L166" s="101">
        <v>13274.9</v>
      </c>
      <c r="M166" s="106">
        <v>44652</v>
      </c>
      <c r="N166" s="106">
        <v>44652</v>
      </c>
      <c r="O166" s="106">
        <v>44634</v>
      </c>
      <c r="P166" s="100" t="s">
        <v>1270</v>
      </c>
      <c r="Q166" s="100" t="s">
        <v>1270</v>
      </c>
      <c r="R166" s="100"/>
      <c r="S166" s="100">
        <v>0</v>
      </c>
      <c r="T166" s="100" t="s">
        <v>1280</v>
      </c>
      <c r="U166" s="100"/>
      <c r="V166" s="100"/>
      <c r="W166" s="100"/>
      <c r="X166" s="100"/>
      <c r="Y166" s="100" t="s">
        <v>779</v>
      </c>
      <c r="Z166" s="100" t="s">
        <v>780</v>
      </c>
      <c r="AA166" s="100" t="s">
        <v>1271</v>
      </c>
      <c r="AB166" s="100" t="s">
        <v>1000</v>
      </c>
      <c r="AC166" s="100" t="s">
        <v>1272</v>
      </c>
      <c r="AD166" s="100"/>
      <c r="AE166" s="100"/>
      <c r="AF166" s="100"/>
    </row>
    <row r="167" spans="1:32">
      <c r="A167" s="100" t="s">
        <v>736</v>
      </c>
      <c r="B167" s="100" t="s">
        <v>1269</v>
      </c>
      <c r="C167" s="100" t="s">
        <v>771</v>
      </c>
      <c r="D167" s="100"/>
      <c r="E167" s="100" t="s">
        <v>786</v>
      </c>
      <c r="F167" s="100"/>
      <c r="G167" s="105">
        <v>10012319</v>
      </c>
      <c r="H167" s="105">
        <v>18960702</v>
      </c>
      <c r="I167" s="100" t="s">
        <v>807</v>
      </c>
      <c r="J167" s="105">
        <v>4</v>
      </c>
      <c r="K167" s="105">
        <v>22</v>
      </c>
      <c r="L167" s="101">
        <v>14588.1</v>
      </c>
      <c r="M167" s="106">
        <v>44652</v>
      </c>
      <c r="N167" s="106">
        <v>44652</v>
      </c>
      <c r="O167" s="106">
        <v>44634</v>
      </c>
      <c r="P167" s="100" t="s">
        <v>1270</v>
      </c>
      <c r="Q167" s="100" t="s">
        <v>1270</v>
      </c>
      <c r="R167" s="100"/>
      <c r="S167" s="100">
        <v>0</v>
      </c>
      <c r="T167" s="100" t="s">
        <v>1281</v>
      </c>
      <c r="U167" s="100"/>
      <c r="V167" s="100"/>
      <c r="W167" s="100"/>
      <c r="X167" s="100"/>
      <c r="Y167" s="100" t="s">
        <v>779</v>
      </c>
      <c r="Z167" s="100" t="s">
        <v>780</v>
      </c>
      <c r="AA167" s="100" t="s">
        <v>1271</v>
      </c>
      <c r="AB167" s="100" t="s">
        <v>1000</v>
      </c>
      <c r="AC167" s="100" t="s">
        <v>1272</v>
      </c>
      <c r="AD167" s="100"/>
      <c r="AE167" s="100"/>
      <c r="AF167" s="100"/>
    </row>
    <row r="168" spans="1:32">
      <c r="A168" s="100" t="s">
        <v>736</v>
      </c>
      <c r="B168" s="100" t="s">
        <v>1269</v>
      </c>
      <c r="C168" s="100" t="s">
        <v>771</v>
      </c>
      <c r="D168" s="100"/>
      <c r="E168" s="100" t="s">
        <v>786</v>
      </c>
      <c r="F168" s="100"/>
      <c r="G168" s="105">
        <v>10012319</v>
      </c>
      <c r="H168" s="105">
        <v>18960702</v>
      </c>
      <c r="I168" s="100" t="s">
        <v>807</v>
      </c>
      <c r="J168" s="105">
        <v>4</v>
      </c>
      <c r="K168" s="105">
        <v>22</v>
      </c>
      <c r="L168" s="101">
        <v>29811.93</v>
      </c>
      <c r="M168" s="106">
        <v>44652</v>
      </c>
      <c r="N168" s="106">
        <v>44652</v>
      </c>
      <c r="O168" s="106">
        <v>44634</v>
      </c>
      <c r="P168" s="100" t="s">
        <v>1270</v>
      </c>
      <c r="Q168" s="100" t="s">
        <v>1270</v>
      </c>
      <c r="R168" s="100"/>
      <c r="S168" s="100">
        <v>0</v>
      </c>
      <c r="T168" s="100" t="s">
        <v>1282</v>
      </c>
      <c r="U168" s="100"/>
      <c r="V168" s="100"/>
      <c r="W168" s="100"/>
      <c r="X168" s="100"/>
      <c r="Y168" s="100" t="s">
        <v>779</v>
      </c>
      <c r="Z168" s="100" t="s">
        <v>780</v>
      </c>
      <c r="AA168" s="100" t="s">
        <v>1271</v>
      </c>
      <c r="AB168" s="100" t="s">
        <v>1000</v>
      </c>
      <c r="AC168" s="100" t="s">
        <v>1272</v>
      </c>
      <c r="AD168" s="100"/>
      <c r="AE168" s="100"/>
      <c r="AF168" s="100"/>
    </row>
    <row r="169" spans="1:32">
      <c r="A169" s="100" t="s">
        <v>736</v>
      </c>
      <c r="B169" s="100" t="s">
        <v>1269</v>
      </c>
      <c r="C169" s="100" t="s">
        <v>771</v>
      </c>
      <c r="D169" s="100"/>
      <c r="E169" s="100" t="s">
        <v>786</v>
      </c>
      <c r="F169" s="100"/>
      <c r="G169" s="105">
        <v>10012319</v>
      </c>
      <c r="H169" s="105">
        <v>18960702</v>
      </c>
      <c r="I169" s="100" t="s">
        <v>807</v>
      </c>
      <c r="J169" s="105">
        <v>4</v>
      </c>
      <c r="K169" s="105">
        <v>22</v>
      </c>
      <c r="L169" s="101">
        <v>569160</v>
      </c>
      <c r="M169" s="106">
        <v>44652</v>
      </c>
      <c r="N169" s="106">
        <v>44652</v>
      </c>
      <c r="O169" s="106">
        <v>44634</v>
      </c>
      <c r="P169" s="100" t="s">
        <v>1270</v>
      </c>
      <c r="Q169" s="100" t="s">
        <v>1270</v>
      </c>
      <c r="R169" s="100"/>
      <c r="S169" s="100">
        <v>0</v>
      </c>
      <c r="T169" s="100" t="s">
        <v>1283</v>
      </c>
      <c r="U169" s="100"/>
      <c r="V169" s="100"/>
      <c r="W169" s="100"/>
      <c r="X169" s="100"/>
      <c r="Y169" s="100" t="s">
        <v>779</v>
      </c>
      <c r="Z169" s="100" t="s">
        <v>780</v>
      </c>
      <c r="AA169" s="100" t="s">
        <v>1271</v>
      </c>
      <c r="AB169" s="100" t="s">
        <v>1000</v>
      </c>
      <c r="AC169" s="100" t="s">
        <v>1272</v>
      </c>
      <c r="AD169" s="100"/>
      <c r="AE169" s="100"/>
      <c r="AF169" s="100"/>
    </row>
    <row r="170" spans="1:32">
      <c r="A170" s="100" t="s">
        <v>736</v>
      </c>
      <c r="B170" s="100" t="s">
        <v>1269</v>
      </c>
      <c r="C170" s="100" t="s">
        <v>771</v>
      </c>
      <c r="D170" s="100"/>
      <c r="E170" s="100" t="s">
        <v>786</v>
      </c>
      <c r="F170" s="100"/>
      <c r="G170" s="105">
        <v>10012319</v>
      </c>
      <c r="H170" s="105">
        <v>18960702</v>
      </c>
      <c r="I170" s="100" t="s">
        <v>807</v>
      </c>
      <c r="J170" s="105">
        <v>4</v>
      </c>
      <c r="K170" s="105">
        <v>22</v>
      </c>
      <c r="L170" s="101">
        <v>44231.95</v>
      </c>
      <c r="M170" s="106">
        <v>44652</v>
      </c>
      <c r="N170" s="106">
        <v>44652</v>
      </c>
      <c r="O170" s="106">
        <v>44634</v>
      </c>
      <c r="P170" s="100" t="s">
        <v>1270</v>
      </c>
      <c r="Q170" s="100" t="s">
        <v>1270</v>
      </c>
      <c r="R170" s="100"/>
      <c r="S170" s="100">
        <v>0</v>
      </c>
      <c r="T170" s="100" t="s">
        <v>1284</v>
      </c>
      <c r="U170" s="100"/>
      <c r="V170" s="100"/>
      <c r="W170" s="100"/>
      <c r="X170" s="100"/>
      <c r="Y170" s="100" t="s">
        <v>779</v>
      </c>
      <c r="Z170" s="100" t="s">
        <v>780</v>
      </c>
      <c r="AA170" s="100" t="s">
        <v>1271</v>
      </c>
      <c r="AB170" s="100" t="s">
        <v>1000</v>
      </c>
      <c r="AC170" s="100" t="s">
        <v>1272</v>
      </c>
      <c r="AD170" s="100"/>
      <c r="AE170" s="100"/>
      <c r="AF170" s="100"/>
    </row>
    <row r="171" spans="1:32">
      <c r="A171" s="100" t="s">
        <v>736</v>
      </c>
      <c r="B171" s="100" t="s">
        <v>1269</v>
      </c>
      <c r="C171" s="100" t="s">
        <v>771</v>
      </c>
      <c r="D171" s="100"/>
      <c r="E171" s="100" t="s">
        <v>786</v>
      </c>
      <c r="F171" s="100"/>
      <c r="G171" s="105">
        <v>10012319</v>
      </c>
      <c r="H171" s="105">
        <v>18960702</v>
      </c>
      <c r="I171" s="100" t="s">
        <v>807</v>
      </c>
      <c r="J171" s="105">
        <v>4</v>
      </c>
      <c r="K171" s="105">
        <v>22</v>
      </c>
      <c r="L171" s="101">
        <v>101968.2</v>
      </c>
      <c r="M171" s="106">
        <v>44652</v>
      </c>
      <c r="N171" s="106">
        <v>44652</v>
      </c>
      <c r="O171" s="106">
        <v>44634</v>
      </c>
      <c r="P171" s="100" t="s">
        <v>1270</v>
      </c>
      <c r="Q171" s="100" t="s">
        <v>1270</v>
      </c>
      <c r="R171" s="100"/>
      <c r="S171" s="100">
        <v>0</v>
      </c>
      <c r="T171" s="100" t="s">
        <v>1285</v>
      </c>
      <c r="U171" s="100"/>
      <c r="V171" s="100"/>
      <c r="W171" s="100"/>
      <c r="X171" s="100"/>
      <c r="Y171" s="100" t="s">
        <v>779</v>
      </c>
      <c r="Z171" s="100" t="s">
        <v>780</v>
      </c>
      <c r="AA171" s="100" t="s">
        <v>1271</v>
      </c>
      <c r="AB171" s="100" t="s">
        <v>1000</v>
      </c>
      <c r="AC171" s="100" t="s">
        <v>1272</v>
      </c>
      <c r="AD171" s="100"/>
      <c r="AE171" s="100"/>
      <c r="AF171" s="100"/>
    </row>
    <row r="172" spans="1:32">
      <c r="A172" s="100" t="s">
        <v>736</v>
      </c>
      <c r="B172" s="100" t="s">
        <v>1269</v>
      </c>
      <c r="C172" s="100" t="s">
        <v>771</v>
      </c>
      <c r="D172" s="100"/>
      <c r="E172" s="100" t="s">
        <v>786</v>
      </c>
      <c r="F172" s="100"/>
      <c r="G172" s="105">
        <v>10012319</v>
      </c>
      <c r="H172" s="105">
        <v>18960702</v>
      </c>
      <c r="I172" s="100" t="s">
        <v>807</v>
      </c>
      <c r="J172" s="105">
        <v>4</v>
      </c>
      <c r="K172" s="105">
        <v>22</v>
      </c>
      <c r="L172" s="101">
        <v>1262150</v>
      </c>
      <c r="M172" s="106">
        <v>44652</v>
      </c>
      <c r="N172" s="106">
        <v>44652</v>
      </c>
      <c r="O172" s="106">
        <v>44634</v>
      </c>
      <c r="P172" s="100" t="s">
        <v>1270</v>
      </c>
      <c r="Q172" s="100" t="s">
        <v>1270</v>
      </c>
      <c r="R172" s="100"/>
      <c r="S172" s="100">
        <v>0</v>
      </c>
      <c r="T172" s="100" t="s">
        <v>1286</v>
      </c>
      <c r="U172" s="100"/>
      <c r="V172" s="100"/>
      <c r="W172" s="100"/>
      <c r="X172" s="100"/>
      <c r="Y172" s="100" t="s">
        <v>779</v>
      </c>
      <c r="Z172" s="100" t="s">
        <v>780</v>
      </c>
      <c r="AA172" s="100" t="s">
        <v>1271</v>
      </c>
      <c r="AB172" s="100" t="s">
        <v>1000</v>
      </c>
      <c r="AC172" s="100" t="s">
        <v>1272</v>
      </c>
      <c r="AD172" s="100"/>
      <c r="AE172" s="100"/>
      <c r="AF172" s="100"/>
    </row>
    <row r="173" spans="1:32">
      <c r="A173" s="100" t="s">
        <v>736</v>
      </c>
      <c r="B173" s="100" t="s">
        <v>1269</v>
      </c>
      <c r="C173" s="100" t="s">
        <v>771</v>
      </c>
      <c r="D173" s="100"/>
      <c r="E173" s="100" t="s">
        <v>786</v>
      </c>
      <c r="F173" s="100"/>
      <c r="G173" s="105">
        <v>10012319</v>
      </c>
      <c r="H173" s="105">
        <v>18960702</v>
      </c>
      <c r="I173" s="100" t="s">
        <v>807</v>
      </c>
      <c r="J173" s="105">
        <v>4</v>
      </c>
      <c r="K173" s="105">
        <v>22</v>
      </c>
      <c r="L173" s="101">
        <v>263760.36</v>
      </c>
      <c r="M173" s="106">
        <v>44652</v>
      </c>
      <c r="N173" s="106">
        <v>44652</v>
      </c>
      <c r="O173" s="106">
        <v>44634</v>
      </c>
      <c r="P173" s="100" t="s">
        <v>1270</v>
      </c>
      <c r="Q173" s="100" t="s">
        <v>1270</v>
      </c>
      <c r="R173" s="100"/>
      <c r="S173" s="100">
        <v>0</v>
      </c>
      <c r="T173" s="100" t="s">
        <v>1287</v>
      </c>
      <c r="U173" s="100"/>
      <c r="V173" s="100"/>
      <c r="W173" s="100"/>
      <c r="X173" s="100"/>
      <c r="Y173" s="100" t="s">
        <v>779</v>
      </c>
      <c r="Z173" s="100" t="s">
        <v>780</v>
      </c>
      <c r="AA173" s="100" t="s">
        <v>1271</v>
      </c>
      <c r="AB173" s="100" t="s">
        <v>1000</v>
      </c>
      <c r="AC173" s="100" t="s">
        <v>1272</v>
      </c>
      <c r="AD173" s="100"/>
      <c r="AE173" s="100"/>
      <c r="AF173" s="100"/>
    </row>
    <row r="174" spans="1:32">
      <c r="A174" s="100" t="s">
        <v>736</v>
      </c>
      <c r="B174" s="100" t="s">
        <v>1269</v>
      </c>
      <c r="C174" s="100" t="s">
        <v>771</v>
      </c>
      <c r="D174" s="100"/>
      <c r="E174" s="100" t="s">
        <v>786</v>
      </c>
      <c r="F174" s="100"/>
      <c r="G174" s="105">
        <v>10012319</v>
      </c>
      <c r="H174" s="105">
        <v>18960702</v>
      </c>
      <c r="I174" s="100" t="s">
        <v>807</v>
      </c>
      <c r="J174" s="105">
        <v>4</v>
      </c>
      <c r="K174" s="105">
        <v>22</v>
      </c>
      <c r="L174" s="101">
        <v>65000</v>
      </c>
      <c r="M174" s="106">
        <v>44652</v>
      </c>
      <c r="N174" s="106">
        <v>44652</v>
      </c>
      <c r="O174" s="106">
        <v>44634</v>
      </c>
      <c r="P174" s="100" t="s">
        <v>1270</v>
      </c>
      <c r="Q174" s="100" t="s">
        <v>1270</v>
      </c>
      <c r="R174" s="100"/>
      <c r="S174" s="100">
        <v>0</v>
      </c>
      <c r="T174" s="100" t="s">
        <v>1288</v>
      </c>
      <c r="U174" s="100"/>
      <c r="V174" s="100"/>
      <c r="W174" s="100"/>
      <c r="X174" s="100"/>
      <c r="Y174" s="100" t="s">
        <v>779</v>
      </c>
      <c r="Z174" s="100" t="s">
        <v>780</v>
      </c>
      <c r="AA174" s="100" t="s">
        <v>1271</v>
      </c>
      <c r="AB174" s="100" t="s">
        <v>1000</v>
      </c>
      <c r="AC174" s="100" t="s">
        <v>1272</v>
      </c>
      <c r="AD174" s="100"/>
      <c r="AE174" s="100"/>
      <c r="AF174" s="100"/>
    </row>
    <row r="175" spans="1:32">
      <c r="A175" s="100" t="s">
        <v>736</v>
      </c>
      <c r="B175" s="100" t="s">
        <v>1269</v>
      </c>
      <c r="C175" s="100" t="s">
        <v>771</v>
      </c>
      <c r="D175" s="100"/>
      <c r="E175" s="100" t="s">
        <v>786</v>
      </c>
      <c r="F175" s="100"/>
      <c r="G175" s="105">
        <v>10012319</v>
      </c>
      <c r="H175" s="105">
        <v>18960702</v>
      </c>
      <c r="I175" s="100" t="s">
        <v>807</v>
      </c>
      <c r="J175" s="105">
        <v>4</v>
      </c>
      <c r="K175" s="105">
        <v>22</v>
      </c>
      <c r="L175" s="101">
        <v>-569160</v>
      </c>
      <c r="M175" s="106">
        <v>44652</v>
      </c>
      <c r="N175" s="106">
        <v>44652</v>
      </c>
      <c r="O175" s="106">
        <v>44634</v>
      </c>
      <c r="P175" s="100" t="s">
        <v>1270</v>
      </c>
      <c r="Q175" s="100" t="s">
        <v>1270</v>
      </c>
      <c r="R175" s="100"/>
      <c r="S175" s="100">
        <v>0</v>
      </c>
      <c r="T175" s="100" t="s">
        <v>1289</v>
      </c>
      <c r="U175" s="100"/>
      <c r="V175" s="100"/>
      <c r="W175" s="100"/>
      <c r="X175" s="100"/>
      <c r="Y175" s="100" t="s">
        <v>779</v>
      </c>
      <c r="Z175" s="100" t="s">
        <v>780</v>
      </c>
      <c r="AA175" s="100" t="s">
        <v>1271</v>
      </c>
      <c r="AB175" s="100" t="s">
        <v>1000</v>
      </c>
      <c r="AC175" s="100" t="s">
        <v>1272</v>
      </c>
      <c r="AD175" s="100"/>
      <c r="AE175" s="100"/>
      <c r="AF175" s="100"/>
    </row>
    <row r="176" spans="1:32">
      <c r="A176" s="100" t="s">
        <v>736</v>
      </c>
      <c r="B176" s="100" t="s">
        <v>1269</v>
      </c>
      <c r="C176" s="100" t="s">
        <v>771</v>
      </c>
      <c r="D176" s="100"/>
      <c r="E176" s="100" t="s">
        <v>786</v>
      </c>
      <c r="F176" s="100"/>
      <c r="G176" s="105">
        <v>10012319</v>
      </c>
      <c r="H176" s="105">
        <v>18960702</v>
      </c>
      <c r="I176" s="100" t="s">
        <v>807</v>
      </c>
      <c r="J176" s="105">
        <v>4</v>
      </c>
      <c r="K176" s="105">
        <v>22</v>
      </c>
      <c r="L176" s="101">
        <v>-101968.2</v>
      </c>
      <c r="M176" s="106">
        <v>44652</v>
      </c>
      <c r="N176" s="106">
        <v>44652</v>
      </c>
      <c r="O176" s="106">
        <v>44634</v>
      </c>
      <c r="P176" s="100" t="s">
        <v>1270</v>
      </c>
      <c r="Q176" s="100" t="s">
        <v>1270</v>
      </c>
      <c r="R176" s="100"/>
      <c r="S176" s="100">
        <v>0</v>
      </c>
      <c r="T176" s="100" t="s">
        <v>1290</v>
      </c>
      <c r="U176" s="100"/>
      <c r="V176" s="100"/>
      <c r="W176" s="100"/>
      <c r="X176" s="100"/>
      <c r="Y176" s="100" t="s">
        <v>779</v>
      </c>
      <c r="Z176" s="100" t="s">
        <v>780</v>
      </c>
      <c r="AA176" s="100" t="s">
        <v>1271</v>
      </c>
      <c r="AB176" s="100" t="s">
        <v>1000</v>
      </c>
      <c r="AC176" s="100" t="s">
        <v>1272</v>
      </c>
      <c r="AD176" s="100"/>
      <c r="AE176" s="100"/>
      <c r="AF176" s="100"/>
    </row>
    <row r="177" spans="1:32">
      <c r="A177" s="100" t="s">
        <v>736</v>
      </c>
      <c r="B177" s="100" t="s">
        <v>1269</v>
      </c>
      <c r="C177" s="100" t="s">
        <v>771</v>
      </c>
      <c r="D177" s="100"/>
      <c r="E177" s="100" t="s">
        <v>786</v>
      </c>
      <c r="F177" s="100"/>
      <c r="G177" s="105">
        <v>10012319</v>
      </c>
      <c r="H177" s="105">
        <v>18960702</v>
      </c>
      <c r="I177" s="100" t="s">
        <v>807</v>
      </c>
      <c r="J177" s="105">
        <v>4</v>
      </c>
      <c r="K177" s="105">
        <v>22</v>
      </c>
      <c r="L177" s="101">
        <v>-14588.1</v>
      </c>
      <c r="M177" s="106">
        <v>44652</v>
      </c>
      <c r="N177" s="106">
        <v>44652</v>
      </c>
      <c r="O177" s="106">
        <v>44634</v>
      </c>
      <c r="P177" s="100" t="s">
        <v>1270</v>
      </c>
      <c r="Q177" s="100" t="s">
        <v>1270</v>
      </c>
      <c r="R177" s="100"/>
      <c r="S177" s="100">
        <v>0</v>
      </c>
      <c r="T177" s="100" t="s">
        <v>1291</v>
      </c>
      <c r="U177" s="100"/>
      <c r="V177" s="100"/>
      <c r="W177" s="100"/>
      <c r="X177" s="100"/>
      <c r="Y177" s="100" t="s">
        <v>779</v>
      </c>
      <c r="Z177" s="100" t="s">
        <v>780</v>
      </c>
      <c r="AA177" s="100" t="s">
        <v>1271</v>
      </c>
      <c r="AB177" s="100" t="s">
        <v>1000</v>
      </c>
      <c r="AC177" s="100" t="s">
        <v>1272</v>
      </c>
      <c r="AD177" s="100"/>
      <c r="AE177" s="100"/>
      <c r="AF177" s="100"/>
    </row>
    <row r="178" spans="1:32">
      <c r="A178" s="100" t="s">
        <v>736</v>
      </c>
      <c r="B178" s="100" t="s">
        <v>1269</v>
      </c>
      <c r="C178" s="100" t="s">
        <v>771</v>
      </c>
      <c r="D178" s="100"/>
      <c r="E178" s="100" t="s">
        <v>786</v>
      </c>
      <c r="F178" s="100"/>
      <c r="G178" s="105">
        <v>10012319</v>
      </c>
      <c r="H178" s="105">
        <v>18960702</v>
      </c>
      <c r="I178" s="100" t="s">
        <v>807</v>
      </c>
      <c r="J178" s="105">
        <v>4</v>
      </c>
      <c r="K178" s="105">
        <v>22</v>
      </c>
      <c r="L178" s="101">
        <v>-331728.36</v>
      </c>
      <c r="M178" s="106">
        <v>44652</v>
      </c>
      <c r="N178" s="106">
        <v>44652</v>
      </c>
      <c r="O178" s="106">
        <v>44634</v>
      </c>
      <c r="P178" s="100" t="s">
        <v>1270</v>
      </c>
      <c r="Q178" s="100" t="s">
        <v>1270</v>
      </c>
      <c r="R178" s="100"/>
      <c r="S178" s="100">
        <v>0</v>
      </c>
      <c r="T178" s="100" t="s">
        <v>1292</v>
      </c>
      <c r="U178" s="100"/>
      <c r="V178" s="100"/>
      <c r="W178" s="100"/>
      <c r="X178" s="100"/>
      <c r="Y178" s="100" t="s">
        <v>779</v>
      </c>
      <c r="Z178" s="100" t="s">
        <v>780</v>
      </c>
      <c r="AA178" s="100" t="s">
        <v>1271</v>
      </c>
      <c r="AB178" s="100" t="s">
        <v>1000</v>
      </c>
      <c r="AC178" s="100" t="s">
        <v>1272</v>
      </c>
      <c r="AD178" s="100"/>
      <c r="AE178" s="100"/>
      <c r="AF178" s="100"/>
    </row>
    <row r="179" spans="1:32">
      <c r="A179" s="100" t="s">
        <v>736</v>
      </c>
      <c r="B179" s="100" t="s">
        <v>1269</v>
      </c>
      <c r="C179" s="100" t="s">
        <v>771</v>
      </c>
      <c r="D179" s="100"/>
      <c r="E179" s="100" t="s">
        <v>786</v>
      </c>
      <c r="F179" s="100"/>
      <c r="G179" s="105">
        <v>10012319</v>
      </c>
      <c r="H179" s="105">
        <v>18960702</v>
      </c>
      <c r="I179" s="100" t="s">
        <v>807</v>
      </c>
      <c r="J179" s="105">
        <v>4</v>
      </c>
      <c r="K179" s="105">
        <v>22</v>
      </c>
      <c r="L179" s="101">
        <v>-44231.95</v>
      </c>
      <c r="M179" s="106">
        <v>44652</v>
      </c>
      <c r="N179" s="106">
        <v>44652</v>
      </c>
      <c r="O179" s="106">
        <v>44634</v>
      </c>
      <c r="P179" s="100" t="s">
        <v>1270</v>
      </c>
      <c r="Q179" s="100" t="s">
        <v>1270</v>
      </c>
      <c r="R179" s="100"/>
      <c r="S179" s="100">
        <v>0</v>
      </c>
      <c r="T179" s="100" t="s">
        <v>1293</v>
      </c>
      <c r="U179" s="100"/>
      <c r="V179" s="100"/>
      <c r="W179" s="100"/>
      <c r="X179" s="100"/>
      <c r="Y179" s="100" t="s">
        <v>779</v>
      </c>
      <c r="Z179" s="100" t="s">
        <v>780</v>
      </c>
      <c r="AA179" s="100" t="s">
        <v>1271</v>
      </c>
      <c r="AB179" s="100" t="s">
        <v>1000</v>
      </c>
      <c r="AC179" s="100" t="s">
        <v>1272</v>
      </c>
      <c r="AD179" s="100"/>
      <c r="AE179" s="100"/>
      <c r="AF179" s="100"/>
    </row>
    <row r="180" spans="1:32">
      <c r="A180" s="100" t="s">
        <v>736</v>
      </c>
      <c r="B180" s="100" t="s">
        <v>1269</v>
      </c>
      <c r="C180" s="100" t="s">
        <v>771</v>
      </c>
      <c r="D180" s="100"/>
      <c r="E180" s="100" t="s">
        <v>786</v>
      </c>
      <c r="F180" s="100"/>
      <c r="G180" s="105">
        <v>10012319</v>
      </c>
      <c r="H180" s="105">
        <v>18960702</v>
      </c>
      <c r="I180" s="100" t="s">
        <v>807</v>
      </c>
      <c r="J180" s="105">
        <v>4</v>
      </c>
      <c r="K180" s="105">
        <v>22</v>
      </c>
      <c r="L180" s="101">
        <v>2755473</v>
      </c>
      <c r="M180" s="106">
        <v>44652</v>
      </c>
      <c r="N180" s="106">
        <v>44652</v>
      </c>
      <c r="O180" s="106">
        <v>44634</v>
      </c>
      <c r="P180" s="100" t="s">
        <v>1270</v>
      </c>
      <c r="Q180" s="100" t="s">
        <v>1270</v>
      </c>
      <c r="R180" s="100"/>
      <c r="S180" s="100">
        <v>0</v>
      </c>
      <c r="T180" s="100" t="s">
        <v>1294</v>
      </c>
      <c r="U180" s="100"/>
      <c r="V180" s="100"/>
      <c r="W180" s="100"/>
      <c r="X180" s="100"/>
      <c r="Y180" s="100" t="s">
        <v>779</v>
      </c>
      <c r="Z180" s="100" t="s">
        <v>780</v>
      </c>
      <c r="AA180" s="100" t="s">
        <v>1271</v>
      </c>
      <c r="AB180" s="100" t="s">
        <v>1000</v>
      </c>
      <c r="AC180" s="100" t="s">
        <v>1272</v>
      </c>
      <c r="AD180" s="100"/>
      <c r="AE180" s="100"/>
      <c r="AF180" s="100"/>
    </row>
    <row r="181" spans="1:32">
      <c r="A181" s="100" t="s">
        <v>736</v>
      </c>
      <c r="B181" s="100" t="s">
        <v>1269</v>
      </c>
      <c r="C181" s="100" t="s">
        <v>771</v>
      </c>
      <c r="D181" s="100"/>
      <c r="E181" s="100" t="s">
        <v>786</v>
      </c>
      <c r="F181" s="100"/>
      <c r="G181" s="105">
        <v>10012319</v>
      </c>
      <c r="H181" s="105">
        <v>18960702</v>
      </c>
      <c r="I181" s="100" t="s">
        <v>807</v>
      </c>
      <c r="J181" s="105">
        <v>4</v>
      </c>
      <c r="K181" s="105">
        <v>22</v>
      </c>
      <c r="L181" s="101">
        <v>-29811.93</v>
      </c>
      <c r="M181" s="106">
        <v>44652</v>
      </c>
      <c r="N181" s="106">
        <v>44652</v>
      </c>
      <c r="O181" s="106">
        <v>44634</v>
      </c>
      <c r="P181" s="100" t="s">
        <v>1270</v>
      </c>
      <c r="Q181" s="100" t="s">
        <v>1270</v>
      </c>
      <c r="R181" s="100"/>
      <c r="S181" s="100">
        <v>0</v>
      </c>
      <c r="T181" s="100" t="s">
        <v>1295</v>
      </c>
      <c r="U181" s="100"/>
      <c r="V181" s="100"/>
      <c r="W181" s="100"/>
      <c r="X181" s="100"/>
      <c r="Y181" s="100" t="s">
        <v>779</v>
      </c>
      <c r="Z181" s="100" t="s">
        <v>780</v>
      </c>
      <c r="AA181" s="100" t="s">
        <v>1271</v>
      </c>
      <c r="AB181" s="100" t="s">
        <v>1000</v>
      </c>
      <c r="AC181" s="100" t="s">
        <v>1272</v>
      </c>
      <c r="AD181" s="100"/>
      <c r="AE181" s="100"/>
      <c r="AF181" s="100"/>
    </row>
    <row r="182" spans="1:32">
      <c r="A182" s="100" t="s">
        <v>736</v>
      </c>
      <c r="B182" s="100" t="s">
        <v>1269</v>
      </c>
      <c r="C182" s="100" t="s">
        <v>771</v>
      </c>
      <c r="D182" s="100"/>
      <c r="E182" s="100" t="s">
        <v>786</v>
      </c>
      <c r="F182" s="100"/>
      <c r="G182" s="105">
        <v>10012319</v>
      </c>
      <c r="H182" s="105">
        <v>18960702</v>
      </c>
      <c r="I182" s="100" t="s">
        <v>807</v>
      </c>
      <c r="J182" s="105">
        <v>4</v>
      </c>
      <c r="K182" s="105">
        <v>22</v>
      </c>
      <c r="L182" s="101">
        <v>-13274.9</v>
      </c>
      <c r="M182" s="106">
        <v>44652</v>
      </c>
      <c r="N182" s="106">
        <v>44652</v>
      </c>
      <c r="O182" s="106">
        <v>44634</v>
      </c>
      <c r="P182" s="100" t="s">
        <v>1270</v>
      </c>
      <c r="Q182" s="100" t="s">
        <v>1270</v>
      </c>
      <c r="R182" s="100"/>
      <c r="S182" s="100">
        <v>0</v>
      </c>
      <c r="T182" s="100" t="s">
        <v>1296</v>
      </c>
      <c r="U182" s="100"/>
      <c r="V182" s="100"/>
      <c r="W182" s="100"/>
      <c r="X182" s="100"/>
      <c r="Y182" s="100" t="s">
        <v>779</v>
      </c>
      <c r="Z182" s="100" t="s">
        <v>780</v>
      </c>
      <c r="AA182" s="100" t="s">
        <v>1271</v>
      </c>
      <c r="AB182" s="100" t="s">
        <v>1000</v>
      </c>
      <c r="AC182" s="100" t="s">
        <v>1272</v>
      </c>
      <c r="AD182" s="100"/>
      <c r="AE182" s="100"/>
      <c r="AF182" s="100"/>
    </row>
    <row r="183" spans="1:32">
      <c r="A183" s="100" t="s">
        <v>736</v>
      </c>
      <c r="B183" s="100" t="s">
        <v>1269</v>
      </c>
      <c r="C183" s="100" t="s">
        <v>771</v>
      </c>
      <c r="D183" s="100"/>
      <c r="E183" s="100" t="s">
        <v>786</v>
      </c>
      <c r="F183" s="100"/>
      <c r="G183" s="105">
        <v>10012319</v>
      </c>
      <c r="H183" s="105">
        <v>18960702</v>
      </c>
      <c r="I183" s="100" t="s">
        <v>807</v>
      </c>
      <c r="J183" s="105">
        <v>4</v>
      </c>
      <c r="K183" s="105">
        <v>22</v>
      </c>
      <c r="L183" s="101">
        <v>-15000</v>
      </c>
      <c r="M183" s="106">
        <v>44652</v>
      </c>
      <c r="N183" s="106">
        <v>44652</v>
      </c>
      <c r="O183" s="106">
        <v>44634</v>
      </c>
      <c r="P183" s="100" t="s">
        <v>1270</v>
      </c>
      <c r="Q183" s="100" t="s">
        <v>1270</v>
      </c>
      <c r="R183" s="100"/>
      <c r="S183" s="100">
        <v>0</v>
      </c>
      <c r="T183" s="100" t="s">
        <v>1297</v>
      </c>
      <c r="U183" s="100"/>
      <c r="V183" s="100"/>
      <c r="W183" s="100"/>
      <c r="X183" s="100"/>
      <c r="Y183" s="100" t="s">
        <v>779</v>
      </c>
      <c r="Z183" s="100" t="s">
        <v>780</v>
      </c>
      <c r="AA183" s="100" t="s">
        <v>1271</v>
      </c>
      <c r="AB183" s="100" t="s">
        <v>1000</v>
      </c>
      <c r="AC183" s="100" t="s">
        <v>1272</v>
      </c>
      <c r="AD183" s="100"/>
      <c r="AE183" s="100"/>
      <c r="AF183" s="100"/>
    </row>
    <row r="184" spans="1:32">
      <c r="A184" s="100" t="s">
        <v>736</v>
      </c>
      <c r="B184" s="100" t="s">
        <v>1269</v>
      </c>
      <c r="C184" s="100" t="s">
        <v>771</v>
      </c>
      <c r="D184" s="100"/>
      <c r="E184" s="100" t="s">
        <v>786</v>
      </c>
      <c r="F184" s="100"/>
      <c r="G184" s="105">
        <v>10012319</v>
      </c>
      <c r="H184" s="105">
        <v>18960702</v>
      </c>
      <c r="I184" s="100" t="s">
        <v>807</v>
      </c>
      <c r="J184" s="105">
        <v>4</v>
      </c>
      <c r="K184" s="105">
        <v>22</v>
      </c>
      <c r="L184" s="101">
        <v>-547.34</v>
      </c>
      <c r="M184" s="106">
        <v>44652</v>
      </c>
      <c r="N184" s="106">
        <v>44652</v>
      </c>
      <c r="O184" s="106">
        <v>44634</v>
      </c>
      <c r="P184" s="100" t="s">
        <v>1270</v>
      </c>
      <c r="Q184" s="100" t="s">
        <v>1270</v>
      </c>
      <c r="R184" s="100"/>
      <c r="S184" s="100">
        <v>0</v>
      </c>
      <c r="T184" s="100" t="s">
        <v>1298</v>
      </c>
      <c r="U184" s="100"/>
      <c r="V184" s="100"/>
      <c r="W184" s="100"/>
      <c r="X184" s="100"/>
      <c r="Y184" s="100" t="s">
        <v>779</v>
      </c>
      <c r="Z184" s="100" t="s">
        <v>780</v>
      </c>
      <c r="AA184" s="100" t="s">
        <v>1271</v>
      </c>
      <c r="AB184" s="100" t="s">
        <v>1000</v>
      </c>
      <c r="AC184" s="100" t="s">
        <v>1272</v>
      </c>
      <c r="AD184" s="100"/>
      <c r="AE184" s="100"/>
      <c r="AF184" s="100"/>
    </row>
    <row r="185" spans="1:32">
      <c r="A185" s="100" t="s">
        <v>736</v>
      </c>
      <c r="B185" s="100" t="s">
        <v>1034</v>
      </c>
      <c r="C185" s="100" t="s">
        <v>771</v>
      </c>
      <c r="D185" s="100"/>
      <c r="E185" s="100" t="s">
        <v>772</v>
      </c>
      <c r="F185" s="100"/>
      <c r="G185" s="105">
        <v>10025199</v>
      </c>
      <c r="H185" s="105">
        <v>1432546</v>
      </c>
      <c r="I185" s="100" t="s">
        <v>773</v>
      </c>
      <c r="J185" s="105">
        <v>4</v>
      </c>
      <c r="K185" s="105">
        <v>22</v>
      </c>
      <c r="L185" s="101">
        <v>50000</v>
      </c>
      <c r="M185" s="106">
        <v>44645</v>
      </c>
      <c r="N185" s="106">
        <v>44664</v>
      </c>
      <c r="O185" s="106">
        <v>44664</v>
      </c>
      <c r="P185" s="100" t="s">
        <v>1299</v>
      </c>
      <c r="Q185" s="100" t="s">
        <v>638</v>
      </c>
      <c r="R185" s="100" t="s">
        <v>1300</v>
      </c>
      <c r="S185" s="100" t="s">
        <v>513</v>
      </c>
      <c r="T185" s="100" t="s">
        <v>1301</v>
      </c>
      <c r="U185" s="100"/>
      <c r="V185" s="100"/>
      <c r="W185" s="100"/>
      <c r="X185" s="100"/>
      <c r="Y185" s="100" t="s">
        <v>779</v>
      </c>
      <c r="Z185" s="100" t="s">
        <v>780</v>
      </c>
      <c r="AA185" s="100" t="s">
        <v>781</v>
      </c>
      <c r="AB185" s="100" t="s">
        <v>782</v>
      </c>
      <c r="AC185" s="100" t="s">
        <v>1039</v>
      </c>
      <c r="AD185" s="100" t="s">
        <v>1302</v>
      </c>
      <c r="AE185" s="100"/>
      <c r="AF185" s="100"/>
    </row>
    <row r="186" spans="1:32">
      <c r="A186" s="100" t="s">
        <v>737</v>
      </c>
      <c r="B186" s="100" t="s">
        <v>843</v>
      </c>
      <c r="C186" s="100" t="s">
        <v>771</v>
      </c>
      <c r="D186" s="100"/>
      <c r="E186" s="100" t="s">
        <v>786</v>
      </c>
      <c r="F186" s="100"/>
      <c r="G186" s="105">
        <v>10024658</v>
      </c>
      <c r="H186" s="105">
        <v>18965860</v>
      </c>
      <c r="I186" s="100" t="s">
        <v>807</v>
      </c>
      <c r="J186" s="105">
        <v>4</v>
      </c>
      <c r="K186" s="105">
        <v>22</v>
      </c>
      <c r="L186" s="101">
        <v>-2256490</v>
      </c>
      <c r="M186" s="106">
        <v>44663</v>
      </c>
      <c r="N186" s="106">
        <v>44663</v>
      </c>
      <c r="O186" s="106">
        <v>44663</v>
      </c>
      <c r="P186" s="100" t="s">
        <v>1303</v>
      </c>
      <c r="Q186" s="100" t="s">
        <v>846</v>
      </c>
      <c r="R186" s="100"/>
      <c r="S186" s="100">
        <v>0</v>
      </c>
      <c r="T186" s="100" t="s">
        <v>1304</v>
      </c>
      <c r="U186" s="100"/>
      <c r="V186" s="100"/>
      <c r="W186" s="100" t="s">
        <v>827</v>
      </c>
      <c r="X186" s="100"/>
      <c r="Y186" s="100" t="s">
        <v>779</v>
      </c>
      <c r="Z186" s="100" t="s">
        <v>780</v>
      </c>
      <c r="AA186" s="100" t="s">
        <v>848</v>
      </c>
      <c r="AB186" s="100" t="s">
        <v>782</v>
      </c>
      <c r="AC186" s="100" t="s">
        <v>849</v>
      </c>
      <c r="AD186" s="100" t="s">
        <v>1305</v>
      </c>
      <c r="AE186" s="100"/>
      <c r="AF186" s="100"/>
    </row>
    <row r="187" spans="1:32">
      <c r="A187" s="100" t="s">
        <v>737</v>
      </c>
      <c r="B187" s="100" t="s">
        <v>843</v>
      </c>
      <c r="C187" s="100" t="s">
        <v>771</v>
      </c>
      <c r="D187" s="100"/>
      <c r="E187" s="100" t="s">
        <v>772</v>
      </c>
      <c r="F187" s="100" t="s">
        <v>772</v>
      </c>
      <c r="G187" s="105">
        <v>10029433</v>
      </c>
      <c r="H187" s="105">
        <v>1433754</v>
      </c>
      <c r="I187" s="100" t="s">
        <v>773</v>
      </c>
      <c r="J187" s="105">
        <v>4</v>
      </c>
      <c r="K187" s="105">
        <v>22</v>
      </c>
      <c r="L187" s="101">
        <v>-44999.99</v>
      </c>
      <c r="M187" s="106">
        <v>44671</v>
      </c>
      <c r="N187" s="106">
        <v>44676</v>
      </c>
      <c r="O187" s="106">
        <v>44676</v>
      </c>
      <c r="P187" s="100" t="s">
        <v>1306</v>
      </c>
      <c r="Q187" s="100" t="s">
        <v>76</v>
      </c>
      <c r="R187" s="100" t="s">
        <v>1307</v>
      </c>
      <c r="S187" s="100" t="s">
        <v>1308</v>
      </c>
      <c r="T187" s="100" t="s">
        <v>1309</v>
      </c>
      <c r="U187" s="100"/>
      <c r="V187" s="100"/>
      <c r="W187" s="100"/>
      <c r="X187" s="100"/>
      <c r="Y187" s="100" t="s">
        <v>779</v>
      </c>
      <c r="Z187" s="100" t="s">
        <v>780</v>
      </c>
      <c r="AA187" s="100" t="s">
        <v>781</v>
      </c>
      <c r="AB187" s="100" t="s">
        <v>782</v>
      </c>
      <c r="AC187" s="100" t="s">
        <v>849</v>
      </c>
      <c r="AD187" s="100" t="s">
        <v>1310</v>
      </c>
      <c r="AE187" s="100"/>
      <c r="AF187" s="100"/>
    </row>
    <row r="188" spans="1:32">
      <c r="A188" s="100" t="s">
        <v>737</v>
      </c>
      <c r="B188" s="100" t="s">
        <v>843</v>
      </c>
      <c r="C188" s="100" t="s">
        <v>771</v>
      </c>
      <c r="D188" s="100"/>
      <c r="E188" s="100" t="s">
        <v>772</v>
      </c>
      <c r="F188" s="100" t="s">
        <v>772</v>
      </c>
      <c r="G188" s="105">
        <v>10029433</v>
      </c>
      <c r="H188" s="105">
        <v>1433754</v>
      </c>
      <c r="I188" s="100" t="s">
        <v>773</v>
      </c>
      <c r="J188" s="105">
        <v>4</v>
      </c>
      <c r="K188" s="105">
        <v>22</v>
      </c>
      <c r="L188" s="101">
        <v>45000</v>
      </c>
      <c r="M188" s="106">
        <v>44671</v>
      </c>
      <c r="N188" s="106">
        <v>44676</v>
      </c>
      <c r="O188" s="106">
        <v>44676</v>
      </c>
      <c r="P188" s="100" t="s">
        <v>1311</v>
      </c>
      <c r="Q188" s="100" t="s">
        <v>76</v>
      </c>
      <c r="R188" s="100" t="s">
        <v>1307</v>
      </c>
      <c r="S188" s="100" t="s">
        <v>1308</v>
      </c>
      <c r="T188" s="100" t="s">
        <v>1309</v>
      </c>
      <c r="U188" s="100"/>
      <c r="V188" s="100"/>
      <c r="W188" s="100"/>
      <c r="X188" s="100"/>
      <c r="Y188" s="100" t="s">
        <v>779</v>
      </c>
      <c r="Z188" s="100" t="s">
        <v>780</v>
      </c>
      <c r="AA188" s="100" t="s">
        <v>781</v>
      </c>
      <c r="AB188" s="100" t="s">
        <v>782</v>
      </c>
      <c r="AC188" s="100" t="s">
        <v>849</v>
      </c>
      <c r="AD188" s="100" t="s">
        <v>1310</v>
      </c>
      <c r="AE188" s="100"/>
      <c r="AF188" s="100"/>
    </row>
    <row r="189" spans="1:32">
      <c r="A189" s="100" t="s">
        <v>737</v>
      </c>
      <c r="B189" s="100" t="s">
        <v>901</v>
      </c>
      <c r="C189" s="100" t="s">
        <v>771</v>
      </c>
      <c r="D189" s="100"/>
      <c r="E189" s="100" t="s">
        <v>786</v>
      </c>
      <c r="F189" s="100"/>
      <c r="G189" s="105">
        <v>10027921</v>
      </c>
      <c r="H189" s="105">
        <v>18966412</v>
      </c>
      <c r="I189" s="100" t="s">
        <v>807</v>
      </c>
      <c r="J189" s="105">
        <v>4</v>
      </c>
      <c r="K189" s="105">
        <v>22</v>
      </c>
      <c r="L189" s="101">
        <v>-265000</v>
      </c>
      <c r="M189" s="106">
        <v>44652</v>
      </c>
      <c r="N189" s="106">
        <v>44652</v>
      </c>
      <c r="O189" s="106">
        <v>44671</v>
      </c>
      <c r="P189" s="100" t="s">
        <v>1312</v>
      </c>
      <c r="Q189" s="100" t="s">
        <v>1313</v>
      </c>
      <c r="R189" s="100"/>
      <c r="S189" s="100">
        <v>0</v>
      </c>
      <c r="T189" s="100" t="s">
        <v>1314</v>
      </c>
      <c r="U189" s="100"/>
      <c r="V189" s="100"/>
      <c r="W189" s="100"/>
      <c r="X189" s="100"/>
      <c r="Y189" s="100" t="s">
        <v>779</v>
      </c>
      <c r="Z189" s="100" t="s">
        <v>780</v>
      </c>
      <c r="AA189" s="100" t="s">
        <v>1088</v>
      </c>
      <c r="AB189" s="100" t="s">
        <v>782</v>
      </c>
      <c r="AC189" s="100" t="s">
        <v>907</v>
      </c>
      <c r="AD189" s="100" t="s">
        <v>1315</v>
      </c>
      <c r="AE189" s="100"/>
      <c r="AF189" s="100"/>
    </row>
    <row r="190" spans="1:32">
      <c r="A190" s="100" t="s">
        <v>737</v>
      </c>
      <c r="B190" s="100" t="s">
        <v>901</v>
      </c>
      <c r="C190" s="100" t="s">
        <v>771</v>
      </c>
      <c r="D190" s="100"/>
      <c r="E190" s="100" t="s">
        <v>786</v>
      </c>
      <c r="F190" s="100"/>
      <c r="G190" s="105">
        <v>10027928</v>
      </c>
      <c r="H190" s="105">
        <v>18966415</v>
      </c>
      <c r="I190" s="100" t="s">
        <v>807</v>
      </c>
      <c r="J190" s="105">
        <v>4</v>
      </c>
      <c r="K190" s="105">
        <v>22</v>
      </c>
      <c r="L190" s="101">
        <v>125000</v>
      </c>
      <c r="M190" s="106">
        <v>44652</v>
      </c>
      <c r="N190" s="106">
        <v>44652</v>
      </c>
      <c r="O190" s="106">
        <v>44671</v>
      </c>
      <c r="P190" s="100" t="s">
        <v>1094</v>
      </c>
      <c r="Q190" s="100" t="s">
        <v>1316</v>
      </c>
      <c r="R190" s="100"/>
      <c r="S190" s="100">
        <v>0</v>
      </c>
      <c r="T190" s="100" t="s">
        <v>1087</v>
      </c>
      <c r="U190" s="100"/>
      <c r="V190" s="100"/>
      <c r="W190" s="100" t="s">
        <v>811</v>
      </c>
      <c r="X190" s="100"/>
      <c r="Y190" s="100" t="s">
        <v>779</v>
      </c>
      <c r="Z190" s="100" t="s">
        <v>780</v>
      </c>
      <c r="AA190" s="100" t="s">
        <v>1088</v>
      </c>
      <c r="AB190" s="100" t="s">
        <v>782</v>
      </c>
      <c r="AC190" s="100" t="s">
        <v>907</v>
      </c>
      <c r="AD190" s="100" t="s">
        <v>1096</v>
      </c>
      <c r="AE190" s="100"/>
      <c r="AF190" s="100"/>
    </row>
    <row r="191" spans="1:32">
      <c r="A191" s="100" t="s">
        <v>737</v>
      </c>
      <c r="B191" s="100" t="s">
        <v>908</v>
      </c>
      <c r="C191" s="100" t="s">
        <v>771</v>
      </c>
      <c r="D191" s="100"/>
      <c r="E191" s="100" t="s">
        <v>786</v>
      </c>
      <c r="F191" s="100"/>
      <c r="G191" s="105">
        <v>10029473</v>
      </c>
      <c r="H191" s="105">
        <v>18966584</v>
      </c>
      <c r="I191" s="100" t="s">
        <v>807</v>
      </c>
      <c r="J191" s="105">
        <v>4</v>
      </c>
      <c r="K191" s="105">
        <v>22</v>
      </c>
      <c r="L191" s="101">
        <v>183168</v>
      </c>
      <c r="M191" s="106">
        <v>44681</v>
      </c>
      <c r="N191" s="106">
        <v>44681</v>
      </c>
      <c r="O191" s="106">
        <v>44676</v>
      </c>
      <c r="P191" s="100" t="s">
        <v>1317</v>
      </c>
      <c r="Q191" s="100" t="s">
        <v>1318</v>
      </c>
      <c r="R191" s="100"/>
      <c r="S191" s="100">
        <v>0</v>
      </c>
      <c r="T191" s="100" t="s">
        <v>1319</v>
      </c>
      <c r="U191" s="100"/>
      <c r="V191" s="100"/>
      <c r="W191" s="100" t="s">
        <v>811</v>
      </c>
      <c r="X191" s="100"/>
      <c r="Y191" s="100" t="s">
        <v>779</v>
      </c>
      <c r="Z191" s="100" t="s">
        <v>780</v>
      </c>
      <c r="AA191" s="100" t="s">
        <v>912</v>
      </c>
      <c r="AB191" s="100" t="s">
        <v>782</v>
      </c>
      <c r="AC191" s="100" t="s">
        <v>913</v>
      </c>
      <c r="AD191" s="100" t="s">
        <v>1320</v>
      </c>
      <c r="AE191" s="100"/>
      <c r="AF191" s="100"/>
    </row>
    <row r="192" spans="1:32">
      <c r="A192" s="100" t="s">
        <v>737</v>
      </c>
      <c r="B192" s="100" t="s">
        <v>908</v>
      </c>
      <c r="C192" s="100" t="s">
        <v>771</v>
      </c>
      <c r="D192" s="100"/>
      <c r="E192" s="100" t="s">
        <v>786</v>
      </c>
      <c r="F192" s="100"/>
      <c r="G192" s="105">
        <v>10029566</v>
      </c>
      <c r="H192" s="105">
        <v>18966593</v>
      </c>
      <c r="I192" s="100" t="s">
        <v>807</v>
      </c>
      <c r="J192" s="105">
        <v>4</v>
      </c>
      <c r="K192" s="105">
        <v>22</v>
      </c>
      <c r="L192" s="101">
        <v>183168</v>
      </c>
      <c r="M192" s="106">
        <v>44681</v>
      </c>
      <c r="N192" s="106">
        <v>44681</v>
      </c>
      <c r="O192" s="106">
        <v>44676</v>
      </c>
      <c r="P192" s="100" t="s">
        <v>1317</v>
      </c>
      <c r="Q192" s="100" t="s">
        <v>1321</v>
      </c>
      <c r="R192" s="100"/>
      <c r="S192" s="100">
        <v>0</v>
      </c>
      <c r="T192" s="100" t="s">
        <v>1322</v>
      </c>
      <c r="U192" s="100"/>
      <c r="V192" s="100"/>
      <c r="W192" s="100" t="s">
        <v>811</v>
      </c>
      <c r="X192" s="100"/>
      <c r="Y192" s="100" t="s">
        <v>779</v>
      </c>
      <c r="Z192" s="100" t="s">
        <v>780</v>
      </c>
      <c r="AA192" s="100" t="s">
        <v>912</v>
      </c>
      <c r="AB192" s="100" t="s">
        <v>782</v>
      </c>
      <c r="AC192" s="100" t="s">
        <v>913</v>
      </c>
      <c r="AD192" s="100" t="s">
        <v>1320</v>
      </c>
      <c r="AE192" s="100"/>
      <c r="AF192" s="100"/>
    </row>
    <row r="193" spans="1:32">
      <c r="A193" s="100" t="s">
        <v>737</v>
      </c>
      <c r="B193" s="100" t="s">
        <v>908</v>
      </c>
      <c r="C193" s="100" t="s">
        <v>771</v>
      </c>
      <c r="D193" s="100"/>
      <c r="E193" s="100" t="s">
        <v>786</v>
      </c>
      <c r="F193" s="100"/>
      <c r="G193" s="105">
        <v>10029566</v>
      </c>
      <c r="H193" s="105">
        <v>18966593</v>
      </c>
      <c r="I193" s="100" t="s">
        <v>807</v>
      </c>
      <c r="J193" s="105">
        <v>4</v>
      </c>
      <c r="K193" s="105">
        <v>22</v>
      </c>
      <c r="L193" s="101">
        <v>-183168</v>
      </c>
      <c r="M193" s="106">
        <v>44681</v>
      </c>
      <c r="N193" s="106">
        <v>44681</v>
      </c>
      <c r="O193" s="106">
        <v>44676</v>
      </c>
      <c r="P193" s="100" t="s">
        <v>1317</v>
      </c>
      <c r="Q193" s="100" t="s">
        <v>1321</v>
      </c>
      <c r="R193" s="100"/>
      <c r="S193" s="100">
        <v>0</v>
      </c>
      <c r="T193" s="100" t="s">
        <v>1319</v>
      </c>
      <c r="U193" s="100"/>
      <c r="V193" s="100"/>
      <c r="W193" s="100" t="s">
        <v>811</v>
      </c>
      <c r="X193" s="100"/>
      <c r="Y193" s="100" t="s">
        <v>779</v>
      </c>
      <c r="Z193" s="100" t="s">
        <v>780</v>
      </c>
      <c r="AA193" s="100" t="s">
        <v>912</v>
      </c>
      <c r="AB193" s="100" t="s">
        <v>782</v>
      </c>
      <c r="AC193" s="100" t="s">
        <v>913</v>
      </c>
      <c r="AD193" s="100" t="s">
        <v>1320</v>
      </c>
      <c r="AE193" s="100"/>
      <c r="AF193" s="100"/>
    </row>
    <row r="194" spans="1:32">
      <c r="A194" s="100" t="s">
        <v>737</v>
      </c>
      <c r="B194" s="100" t="s">
        <v>917</v>
      </c>
      <c r="C194" s="100" t="s">
        <v>771</v>
      </c>
      <c r="D194" s="100"/>
      <c r="E194" s="100" t="s">
        <v>772</v>
      </c>
      <c r="F194" s="100"/>
      <c r="G194" s="105">
        <v>10020153</v>
      </c>
      <c r="H194" s="105">
        <v>1430751</v>
      </c>
      <c r="I194" s="100" t="s">
        <v>773</v>
      </c>
      <c r="J194" s="105">
        <v>4</v>
      </c>
      <c r="K194" s="105">
        <v>22</v>
      </c>
      <c r="L194" s="101">
        <v>429840</v>
      </c>
      <c r="M194" s="106">
        <v>44634</v>
      </c>
      <c r="N194" s="106">
        <v>44655</v>
      </c>
      <c r="O194" s="106">
        <v>44655</v>
      </c>
      <c r="P194" s="100" t="s">
        <v>1323</v>
      </c>
      <c r="Q194" s="100" t="s">
        <v>94</v>
      </c>
      <c r="R194" s="100" t="s">
        <v>1324</v>
      </c>
      <c r="S194" s="100" t="s">
        <v>1325</v>
      </c>
      <c r="T194" s="100" t="s">
        <v>1326</v>
      </c>
      <c r="U194" s="100"/>
      <c r="V194" s="100"/>
      <c r="W194" s="100"/>
      <c r="X194" s="100"/>
      <c r="Y194" s="100" t="s">
        <v>779</v>
      </c>
      <c r="Z194" s="100" t="s">
        <v>780</v>
      </c>
      <c r="AA194" s="100" t="s">
        <v>781</v>
      </c>
      <c r="AB194" s="100" t="s">
        <v>782</v>
      </c>
      <c r="AC194" s="100" t="s">
        <v>923</v>
      </c>
      <c r="AD194" s="100" t="s">
        <v>1327</v>
      </c>
      <c r="AE194" s="100"/>
      <c r="AF194" s="100"/>
    </row>
    <row r="195" spans="1:32">
      <c r="A195" s="100" t="s">
        <v>737</v>
      </c>
      <c r="B195" s="100" t="s">
        <v>924</v>
      </c>
      <c r="C195" s="100" t="s">
        <v>771</v>
      </c>
      <c r="D195" s="100"/>
      <c r="E195" s="100" t="s">
        <v>802</v>
      </c>
      <c r="F195" s="100"/>
      <c r="G195" s="105">
        <v>10021836</v>
      </c>
      <c r="H195" s="105">
        <v>3960248</v>
      </c>
      <c r="I195" s="100" t="s">
        <v>803</v>
      </c>
      <c r="J195" s="105">
        <v>4</v>
      </c>
      <c r="K195" s="105">
        <v>22</v>
      </c>
      <c r="L195" s="101">
        <v>-944.5</v>
      </c>
      <c r="M195" s="106">
        <v>43830</v>
      </c>
      <c r="N195" s="106">
        <v>44657</v>
      </c>
      <c r="O195" s="106">
        <v>44657</v>
      </c>
      <c r="P195" s="100" t="s">
        <v>804</v>
      </c>
      <c r="Q195" s="100" t="s">
        <v>484</v>
      </c>
      <c r="R195" s="100"/>
      <c r="S195" s="100" t="s">
        <v>1328</v>
      </c>
      <c r="T195" s="100" t="s">
        <v>1329</v>
      </c>
      <c r="U195" s="100"/>
      <c r="V195" s="100"/>
      <c r="W195" s="100"/>
      <c r="X195" s="100"/>
      <c r="Y195" s="100" t="s">
        <v>779</v>
      </c>
      <c r="Z195" s="100" t="s">
        <v>780</v>
      </c>
      <c r="AA195" s="100" t="s">
        <v>782</v>
      </c>
      <c r="AB195" s="100" t="s">
        <v>782</v>
      </c>
      <c r="AC195" s="100" t="s">
        <v>930</v>
      </c>
      <c r="AD195" s="100"/>
      <c r="AE195" s="100"/>
      <c r="AF195" s="100"/>
    </row>
    <row r="196" spans="1:32">
      <c r="A196" s="100" t="s">
        <v>737</v>
      </c>
      <c r="B196" s="100" t="s">
        <v>924</v>
      </c>
      <c r="C196" s="100" t="s">
        <v>771</v>
      </c>
      <c r="D196" s="100"/>
      <c r="E196" s="100" t="s">
        <v>802</v>
      </c>
      <c r="F196" s="100"/>
      <c r="G196" s="105">
        <v>10021836</v>
      </c>
      <c r="H196" s="105">
        <v>3960248</v>
      </c>
      <c r="I196" s="100" t="s">
        <v>803</v>
      </c>
      <c r="J196" s="105">
        <v>4</v>
      </c>
      <c r="K196" s="105">
        <v>22</v>
      </c>
      <c r="L196" s="101">
        <v>944.4</v>
      </c>
      <c r="M196" s="106">
        <v>43830</v>
      </c>
      <c r="N196" s="106">
        <v>44657</v>
      </c>
      <c r="O196" s="106">
        <v>44657</v>
      </c>
      <c r="P196" s="100" t="s">
        <v>804</v>
      </c>
      <c r="Q196" s="100" t="s">
        <v>484</v>
      </c>
      <c r="R196" s="100"/>
      <c r="S196" s="100" t="s">
        <v>1328</v>
      </c>
      <c r="T196" s="100" t="s">
        <v>1329</v>
      </c>
      <c r="U196" s="100"/>
      <c r="V196" s="100"/>
      <c r="W196" s="100"/>
      <c r="X196" s="100"/>
      <c r="Y196" s="100" t="s">
        <v>779</v>
      </c>
      <c r="Z196" s="100" t="s">
        <v>780</v>
      </c>
      <c r="AA196" s="100" t="s">
        <v>782</v>
      </c>
      <c r="AB196" s="100" t="s">
        <v>782</v>
      </c>
      <c r="AC196" s="100" t="s">
        <v>930</v>
      </c>
      <c r="AD196" s="100"/>
      <c r="AE196" s="100"/>
      <c r="AF196" s="100"/>
    </row>
    <row r="197" spans="1:32">
      <c r="A197" s="100" t="s">
        <v>737</v>
      </c>
      <c r="B197" s="100" t="s">
        <v>931</v>
      </c>
      <c r="C197" s="100" t="s">
        <v>771</v>
      </c>
      <c r="D197" s="100"/>
      <c r="E197" s="100" t="s">
        <v>772</v>
      </c>
      <c r="F197" s="100"/>
      <c r="G197" s="105">
        <v>10022138</v>
      </c>
      <c r="H197" s="105">
        <v>1431740</v>
      </c>
      <c r="I197" s="100" t="s">
        <v>773</v>
      </c>
      <c r="J197" s="105">
        <v>4</v>
      </c>
      <c r="K197" s="105">
        <v>22</v>
      </c>
      <c r="L197" s="101">
        <v>88270</v>
      </c>
      <c r="M197" s="106">
        <v>44467</v>
      </c>
      <c r="N197" s="106">
        <v>44657</v>
      </c>
      <c r="O197" s="106">
        <v>44657</v>
      </c>
      <c r="P197" s="100" t="s">
        <v>1330</v>
      </c>
      <c r="Q197" s="100" t="s">
        <v>590</v>
      </c>
      <c r="R197" s="100" t="s">
        <v>1331</v>
      </c>
      <c r="S197" s="100" t="s">
        <v>1332</v>
      </c>
      <c r="T197" s="100" t="s">
        <v>1333</v>
      </c>
      <c r="U197" s="100"/>
      <c r="V197" s="100"/>
      <c r="W197" s="100"/>
      <c r="X197" s="100"/>
      <c r="Y197" s="100" t="s">
        <v>779</v>
      </c>
      <c r="Z197" s="100" t="s">
        <v>780</v>
      </c>
      <c r="AA197" s="100" t="s">
        <v>781</v>
      </c>
      <c r="AB197" s="100" t="s">
        <v>782</v>
      </c>
      <c r="AC197" s="100" t="s">
        <v>937</v>
      </c>
      <c r="AD197" s="100" t="s">
        <v>1334</v>
      </c>
      <c r="AE197" s="100"/>
      <c r="AF197" s="100"/>
    </row>
    <row r="198" spans="1:32">
      <c r="A198" s="100" t="s">
        <v>737</v>
      </c>
      <c r="B198" s="100" t="s">
        <v>931</v>
      </c>
      <c r="C198" s="100" t="s">
        <v>771</v>
      </c>
      <c r="D198" s="100"/>
      <c r="E198" s="100" t="s">
        <v>772</v>
      </c>
      <c r="F198" s="100"/>
      <c r="G198" s="105">
        <v>10024495</v>
      </c>
      <c r="H198" s="105">
        <v>1432384</v>
      </c>
      <c r="I198" s="100" t="s">
        <v>773</v>
      </c>
      <c r="J198" s="105">
        <v>4</v>
      </c>
      <c r="K198" s="105">
        <v>22</v>
      </c>
      <c r="L198" s="101">
        <v>90000</v>
      </c>
      <c r="M198" s="106">
        <v>44398</v>
      </c>
      <c r="N198" s="106">
        <v>44663</v>
      </c>
      <c r="O198" s="106">
        <v>44663</v>
      </c>
      <c r="P198" s="100" t="s">
        <v>1335</v>
      </c>
      <c r="Q198" s="100" t="s">
        <v>1336</v>
      </c>
      <c r="R198" s="100" t="s">
        <v>1337</v>
      </c>
      <c r="S198" s="100" t="s">
        <v>1338</v>
      </c>
      <c r="T198" s="100" t="s">
        <v>1339</v>
      </c>
      <c r="U198" s="100"/>
      <c r="V198" s="100"/>
      <c r="W198" s="100"/>
      <c r="X198" s="100"/>
      <c r="Y198" s="100" t="s">
        <v>779</v>
      </c>
      <c r="Z198" s="100" t="s">
        <v>780</v>
      </c>
      <c r="AA198" s="100" t="s">
        <v>781</v>
      </c>
      <c r="AB198" s="100" t="s">
        <v>782</v>
      </c>
      <c r="AC198" s="100" t="s">
        <v>937</v>
      </c>
      <c r="AD198" s="100"/>
      <c r="AE198" s="100"/>
      <c r="AF198" s="100"/>
    </row>
    <row r="199" spans="1:32">
      <c r="A199" s="100" t="s">
        <v>738</v>
      </c>
      <c r="B199" s="100" t="s">
        <v>968</v>
      </c>
      <c r="C199" s="100" t="s">
        <v>771</v>
      </c>
      <c r="D199" s="100"/>
      <c r="E199" s="100" t="s">
        <v>772</v>
      </c>
      <c r="F199" s="100"/>
      <c r="G199" s="105">
        <v>10028233</v>
      </c>
      <c r="H199" s="105">
        <v>1433274</v>
      </c>
      <c r="I199" s="100" t="s">
        <v>773</v>
      </c>
      <c r="J199" s="105">
        <v>4</v>
      </c>
      <c r="K199" s="105">
        <v>22</v>
      </c>
      <c r="L199" s="101">
        <v>150000</v>
      </c>
      <c r="M199" s="106">
        <v>44399</v>
      </c>
      <c r="N199" s="106">
        <v>44672</v>
      </c>
      <c r="O199" s="106">
        <v>44672</v>
      </c>
      <c r="P199" s="100" t="s">
        <v>1340</v>
      </c>
      <c r="Q199" s="100" t="s">
        <v>297</v>
      </c>
      <c r="R199" s="100" t="s">
        <v>1341</v>
      </c>
      <c r="S199" s="100" t="s">
        <v>1342</v>
      </c>
      <c r="T199" s="100" t="s">
        <v>1343</v>
      </c>
      <c r="U199" s="100"/>
      <c r="V199" s="100"/>
      <c r="W199" s="100"/>
      <c r="X199" s="100"/>
      <c r="Y199" s="100" t="s">
        <v>779</v>
      </c>
      <c r="Z199" s="100" t="s">
        <v>780</v>
      </c>
      <c r="AA199" s="100" t="s">
        <v>781</v>
      </c>
      <c r="AB199" s="100" t="s">
        <v>782</v>
      </c>
      <c r="AC199" s="100" t="s">
        <v>972</v>
      </c>
      <c r="AD199" s="100" t="s">
        <v>1344</v>
      </c>
      <c r="AE199" s="100"/>
      <c r="AF199" s="100"/>
    </row>
    <row r="200" spans="1:32">
      <c r="A200" s="102" t="s">
        <v>738</v>
      </c>
      <c r="B200" s="102" t="s">
        <v>1001</v>
      </c>
      <c r="C200" s="102" t="s">
        <v>771</v>
      </c>
      <c r="D200" s="102"/>
      <c r="E200" s="102" t="s">
        <v>802</v>
      </c>
      <c r="F200" s="102"/>
      <c r="G200" s="105">
        <v>10025866</v>
      </c>
      <c r="H200" s="105">
        <v>3961337</v>
      </c>
      <c r="I200" s="100" t="s">
        <v>803</v>
      </c>
      <c r="J200" s="105">
        <v>4</v>
      </c>
      <c r="K200" s="105">
        <v>22</v>
      </c>
      <c r="L200" s="107">
        <v>209812.5</v>
      </c>
      <c r="M200" s="108">
        <v>44681</v>
      </c>
      <c r="N200" s="108">
        <v>44666</v>
      </c>
      <c r="O200" s="108">
        <v>44666</v>
      </c>
      <c r="P200" s="102" t="s">
        <v>804</v>
      </c>
      <c r="Q200" s="102" t="s">
        <v>287</v>
      </c>
      <c r="R200" s="102"/>
      <c r="S200" s="102" t="s">
        <v>1345</v>
      </c>
      <c r="T200" s="102" t="s">
        <v>1346</v>
      </c>
      <c r="U200" s="102"/>
      <c r="V200" s="102"/>
      <c r="W200" s="102"/>
      <c r="X200" s="102"/>
      <c r="Y200" s="102" t="s">
        <v>779</v>
      </c>
      <c r="Z200" s="102" t="s">
        <v>780</v>
      </c>
      <c r="AA200" s="102" t="s">
        <v>782</v>
      </c>
      <c r="AB200" s="102" t="s">
        <v>782</v>
      </c>
      <c r="AC200" s="102" t="s">
        <v>1007</v>
      </c>
      <c r="AD200" s="102"/>
      <c r="AE200" s="102"/>
      <c r="AF200" s="102"/>
    </row>
    <row r="201" spans="1:32">
      <c r="A201" s="103" t="s">
        <v>740</v>
      </c>
      <c r="B201" s="103"/>
      <c r="C201" s="103"/>
      <c r="D201" s="103"/>
      <c r="E201" s="103"/>
      <c r="F201" s="103"/>
      <c r="G201" s="103"/>
      <c r="H201" s="103"/>
      <c r="I201" s="103"/>
      <c r="J201" s="103"/>
      <c r="K201" s="103"/>
      <c r="L201" s="111">
        <v>-3145986.52</v>
      </c>
      <c r="M201" s="103"/>
      <c r="N201" s="103"/>
      <c r="O201" s="103"/>
      <c r="P201" s="103"/>
      <c r="Q201" s="103"/>
      <c r="R201" s="103"/>
      <c r="S201" s="103"/>
      <c r="T201" s="103"/>
      <c r="U201" s="103"/>
      <c r="V201" s="103"/>
      <c r="W201" s="103"/>
      <c r="X201" s="103"/>
      <c r="Y201" s="103"/>
      <c r="Z201" s="103"/>
      <c r="AA201" s="103"/>
      <c r="AB201" s="103"/>
      <c r="AC201" s="103"/>
      <c r="AD201" s="103"/>
      <c r="AE201" s="103"/>
      <c r="AF201" s="103"/>
    </row>
  </sheetData>
  <autoFilter ref="A1:AF21" xr:uid="{57C668F7-BAAC-4E1F-A22A-4C5ADA90352B}"/>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May 22</vt:lpstr>
      <vt:lpstr>Center Balance</vt:lpstr>
      <vt:lpstr>GL007-Account Balance Inquiry B</vt:lpstr>
      <vt:lpstr>2022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Khalid</dc:creator>
  <cp:lastModifiedBy>svc_uipath</cp:lastModifiedBy>
  <dcterms:created xsi:type="dcterms:W3CDTF">2022-06-10T10:05:12Z</dcterms:created>
  <dcterms:modified xsi:type="dcterms:W3CDTF">2022-06-24T07:35:03Z</dcterms:modified>
</cp:coreProperties>
</file>