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C:\RPA\Process\TA_Recon_E1\Data\Output\"/>
    </mc:Choice>
  </mc:AlternateContent>
  <xr:revisionPtr revIDLastSave="0" documentId="8_{0CEFDC08-75FC-4C9D-9883-E550AD455FC3}" xr6:coauthVersionLast="47" xr6:coauthVersionMax="47" xr10:uidLastSave="{00000000-0000-0000-0000-000000000000}"/>
  <bookViews>
    <workbookView xWindow="-120" yWindow="-120" windowWidth="20730" windowHeight="11160" tabRatio="601" xr2:uid="{00000000-000D-0000-FFFF-FFFF00000000}"/>
  </bookViews>
  <sheets>
    <sheet name="Feb 22" sheetId="1" r:id="rId1"/>
    <sheet name="Center Balance" sheetId="2" r:id="rId2"/>
    <sheet name="GL007-Account Balance Inquiry B" sheetId="3" r:id="rId3"/>
    <sheet name="2022" sheetId="17" r:id="rId4"/>
    <sheet name="2021" sheetId="4" state="hidden" r:id="rId5"/>
    <sheet name="Table" sheetId="12" state="hidden" r:id="rId6"/>
  </sheets>
  <definedNames>
    <definedName name="_xlnm._FilterDatabase" localSheetId="4" hidden="1">'2021'!$A$544:$AF$614</definedName>
    <definedName name="_xlnm._FilterDatabase" localSheetId="1" hidden="1">'Center Balance'!$A$1:$F$47</definedName>
    <definedName name="_xlnm._FilterDatabase" localSheetId="0" hidden="1">'Feb 22'!$B$8:$P$449</definedName>
    <definedName name="_xlnm._FilterDatabase" localSheetId="5" hidden="1">Table!$A$1:$C$531</definedName>
    <definedName name="BU">Table!$A$1:$C$531</definedName>
    <definedName name="Lease_Status">#REF!</definedName>
    <definedName name="_xlnm.Print_Area" localSheetId="0">'Feb 22'!$B$2:$N$454</definedName>
    <definedName name="_xlnm.Print_Titles" localSheetId="0">'Feb 22'!$8:$8</definedName>
    <definedName name="Z_06CC192D_486E_4A0B_A9B7_ADD9AC2DD655_.wvu.FilterData" localSheetId="4" hidden="1">'2021'!$A$167:$AF$203</definedName>
    <definedName name="Z_06CC192D_486E_4A0B_A9B7_ADD9AC2DD655_.wvu.FilterData" localSheetId="1" hidden="1">'Center Balance'!$A$1:$F$47</definedName>
    <definedName name="Z_06CC192D_486E_4A0B_A9B7_ADD9AC2DD655_.wvu.FilterData" localSheetId="0" hidden="1">'Feb 22'!$B$8:$N$449</definedName>
    <definedName name="Z_06CC192D_486E_4A0B_A9B7_ADD9AC2DD655_.wvu.FilterData" localSheetId="5" hidden="1">Table!$A$1:$C$531</definedName>
    <definedName name="Z_06CC192D_486E_4A0B_A9B7_ADD9AC2DD655_.wvu.PrintArea" localSheetId="0" hidden="1">'Feb 22'!$B$2:$N$454</definedName>
    <definedName name="Z_06CC192D_486E_4A0B_A9B7_ADD9AC2DD655_.wvu.PrintTitles" localSheetId="0" hidden="1">'Feb 22'!$8:$8</definedName>
    <definedName name="Z_2511F1DF_2F5A_4A5C_BF97_5F90F6AB028D_.wvu.FilterData" localSheetId="0" hidden="1">'Feb 22'!$B$8:$P$449</definedName>
    <definedName name="Z_2D5DCD2C_90EA_4D42_81FC_740192C56039_.wvu.FilterData" localSheetId="4" hidden="1">'2021'!$A$167:$AF$203</definedName>
    <definedName name="Z_2D5DCD2C_90EA_4D42_81FC_740192C56039_.wvu.FilterData" localSheetId="1" hidden="1">'Center Balance'!$A$1:$F$47</definedName>
    <definedName name="Z_2D5DCD2C_90EA_4D42_81FC_740192C56039_.wvu.FilterData" localSheetId="0" hidden="1">'Feb 22'!$B$8:$P$449</definedName>
    <definedName name="Z_2D5DCD2C_90EA_4D42_81FC_740192C56039_.wvu.FilterData" localSheetId="5" hidden="1">Table!$A$1:$C$531</definedName>
    <definedName name="Z_2D5DCD2C_90EA_4D42_81FC_740192C56039_.wvu.PrintArea" localSheetId="0" hidden="1">'Feb 22'!$B$2:$N$454</definedName>
    <definedName name="Z_2D5DCD2C_90EA_4D42_81FC_740192C56039_.wvu.PrintTitles" localSheetId="0" hidden="1">'Feb 22'!$8:$8</definedName>
    <definedName name="Z_2E4AF4DB_7A45_4505_A24C_8D376C1561EB_.wvu.FilterData" localSheetId="0" hidden="1">'Feb 22'!$B$8:$N$449</definedName>
    <definedName name="Z_2E87D9A1_0A21_4C5A_A792_7570A50008B7_.wvu.FilterData" localSheetId="1" hidden="1">'Center Balance'!$A$1:$F$47</definedName>
    <definedName name="Z_2E87D9A1_0A21_4C5A_A792_7570A50008B7_.wvu.FilterData" localSheetId="0" hidden="1">'Feb 22'!$B$8:$N$449</definedName>
    <definedName name="Z_2E87D9A1_0A21_4C5A_A792_7570A50008B7_.wvu.FilterData" localSheetId="5" hidden="1">Table!$A$1:$C$531</definedName>
    <definedName name="Z_2E87D9A1_0A21_4C5A_A792_7570A50008B7_.wvu.PrintArea" localSheetId="0" hidden="1">'Feb 22'!$B$2:$N$454</definedName>
    <definedName name="Z_2E87D9A1_0A21_4C5A_A792_7570A50008B7_.wvu.PrintTitles" localSheetId="0" hidden="1">'Feb 22'!$8:$8</definedName>
    <definedName name="Z_32DB0659_95CA_464A_A9E5_65C29D151BE4_.wvu.FilterData" localSheetId="4" hidden="1">'2021'!$A$167:$AF$203</definedName>
    <definedName name="Z_32DB0659_95CA_464A_A9E5_65C29D151BE4_.wvu.FilterData" localSheetId="1" hidden="1">'Center Balance'!$A$1:$F$47</definedName>
    <definedName name="Z_32DB0659_95CA_464A_A9E5_65C29D151BE4_.wvu.FilterData" localSheetId="0" hidden="1">'Feb 22'!$A$8:$R$449</definedName>
    <definedName name="Z_32DB0659_95CA_464A_A9E5_65C29D151BE4_.wvu.FilterData" localSheetId="5" hidden="1">Table!$A$1:$C$531</definedName>
    <definedName name="Z_32DB0659_95CA_464A_A9E5_65C29D151BE4_.wvu.PrintArea" localSheetId="0" hidden="1">'Feb 22'!$B$2:$N$454</definedName>
    <definedName name="Z_32DB0659_95CA_464A_A9E5_65C29D151BE4_.wvu.PrintTitles" localSheetId="0" hidden="1">'Feb 22'!$8:$8</definedName>
    <definedName name="Z_33615F27_5C42_443B_BA66_7B2769E6743B_.wvu.FilterData" localSheetId="0" hidden="1">'Feb 22'!$B$8:$N$449</definedName>
    <definedName name="Z_3D1397D4_6E14_422B_BF17_85500BB6C48E_.wvu.Cols" localSheetId="0" hidden="1">'Feb 22'!$A:$A</definedName>
    <definedName name="Z_3D1397D4_6E14_422B_BF17_85500BB6C48E_.wvu.FilterData" localSheetId="1" hidden="1">'Center Balance'!$A$1:$F$47</definedName>
    <definedName name="Z_3D1397D4_6E14_422B_BF17_85500BB6C48E_.wvu.FilterData" localSheetId="0" hidden="1">'Feb 22'!$A$8:$R$449</definedName>
    <definedName name="Z_3D1397D4_6E14_422B_BF17_85500BB6C48E_.wvu.FilterData" localSheetId="5" hidden="1">Table!$A$1:$C$531</definedName>
    <definedName name="Z_3D1397D4_6E14_422B_BF17_85500BB6C48E_.wvu.PrintArea" localSheetId="0" hidden="1">'Feb 22'!$B$2:$N$454</definedName>
    <definedName name="Z_3D1397D4_6E14_422B_BF17_85500BB6C48E_.wvu.PrintTitles" localSheetId="0" hidden="1">'Feb 22'!$8:$8</definedName>
    <definedName name="Z_3E7D2425_DF29_48A5_8E4F_453269C0181F_.wvu.FilterData" localSheetId="4" hidden="1">'2021'!$A$167:$AF$203</definedName>
    <definedName name="Z_3E7D2425_DF29_48A5_8E4F_453269C0181F_.wvu.FilterData" localSheetId="1" hidden="1">'Center Balance'!$A$1:$F$47</definedName>
    <definedName name="Z_3E7D2425_DF29_48A5_8E4F_453269C0181F_.wvu.FilterData" localSheetId="0" hidden="1">'Feb 22'!$B$8:$P$449</definedName>
    <definedName name="Z_3E7D2425_DF29_48A5_8E4F_453269C0181F_.wvu.FilterData" localSheetId="5" hidden="1">Table!$A$1:$C$531</definedName>
    <definedName name="Z_3E7D2425_DF29_48A5_8E4F_453269C0181F_.wvu.PrintArea" localSheetId="0" hidden="1">'Feb 22'!$B$2:$N$454</definedName>
    <definedName name="Z_3E7D2425_DF29_48A5_8E4F_453269C0181F_.wvu.PrintTitles" localSheetId="0" hidden="1">'Feb 22'!$8:$8</definedName>
    <definedName name="Z_49BE8609_8A6F_45AF_B04A_D50C5E8ACCA5_.wvu.FilterData" localSheetId="4" hidden="1">'2021'!$A$167:$AF$203</definedName>
    <definedName name="Z_49BE8609_8A6F_45AF_B04A_D50C5E8ACCA5_.wvu.FilterData" localSheetId="1" hidden="1">'Center Balance'!$A$1:$F$47</definedName>
    <definedName name="Z_49BE8609_8A6F_45AF_B04A_D50C5E8ACCA5_.wvu.FilterData" localSheetId="0" hidden="1">'Feb 22'!$B$8:$P$449</definedName>
    <definedName name="Z_49BE8609_8A6F_45AF_B04A_D50C5E8ACCA5_.wvu.FilterData" localSheetId="5" hidden="1">Table!$A$1:$C$531</definedName>
    <definedName name="Z_49BE8609_8A6F_45AF_B04A_D50C5E8ACCA5_.wvu.PrintArea" localSheetId="0" hidden="1">'Feb 22'!$B$2:$N$454</definedName>
    <definedName name="Z_49BE8609_8A6F_45AF_B04A_D50C5E8ACCA5_.wvu.PrintTitles" localSheetId="0" hidden="1">'Feb 22'!$8:$8</definedName>
    <definedName name="Z_4B9DF69E_6558_4329_9C41_5127D788913B_.wvu.FilterData" localSheetId="1" hidden="1">'Center Balance'!$A$1:$F$1</definedName>
    <definedName name="Z_4B9DF69E_6558_4329_9C41_5127D788913B_.wvu.FilterData" localSheetId="0" hidden="1">'Feb 22'!$B$8:$N$449</definedName>
    <definedName name="Z_4B9DF69E_6558_4329_9C41_5127D788913B_.wvu.FilterData" localSheetId="5" hidden="1">Table!$A$1:$C$531</definedName>
    <definedName name="Z_4B9DF69E_6558_4329_9C41_5127D788913B_.wvu.PrintArea" localSheetId="0" hidden="1">'Feb 22'!$B$2:$N$454</definedName>
    <definedName name="Z_4B9DF69E_6558_4329_9C41_5127D788913B_.wvu.PrintTitles" localSheetId="0" hidden="1">'Feb 22'!$8:$8</definedName>
    <definedName name="Z_529DBED2_7F14_4DC1_BD8C_88C4DA357099_.wvu.FilterData" localSheetId="1" hidden="1">'Center Balance'!$A$1:$F$47</definedName>
    <definedName name="Z_529DBED2_7F14_4DC1_BD8C_88C4DA357099_.wvu.FilterData" localSheetId="0" hidden="1">'Feb 22'!$B$8:$P$8</definedName>
    <definedName name="Z_529DBED2_7F14_4DC1_BD8C_88C4DA357099_.wvu.FilterData" localSheetId="5" hidden="1">Table!$A$1:$C$531</definedName>
    <definedName name="Z_529DBED2_7F14_4DC1_BD8C_88C4DA357099_.wvu.PrintArea" localSheetId="0" hidden="1">'Feb 22'!$B$2:$N$454</definedName>
    <definedName name="Z_529DBED2_7F14_4DC1_BD8C_88C4DA357099_.wvu.PrintTitles" localSheetId="0" hidden="1">'Feb 22'!$8:$8</definedName>
    <definedName name="Z_5523E9AF_1EDF_4591_BE32_D74C38E8778A_.wvu.FilterData" localSheetId="1" hidden="1">'Center Balance'!$A$1:$F$1</definedName>
    <definedName name="Z_5523E9AF_1EDF_4591_BE32_D74C38E8778A_.wvu.FilterData" localSheetId="0" hidden="1">'Feb 22'!$B$8:$N$449</definedName>
    <definedName name="Z_5523E9AF_1EDF_4591_BE32_D74C38E8778A_.wvu.FilterData" localSheetId="5" hidden="1">Table!$A$1:$C$531</definedName>
    <definedName name="Z_5523E9AF_1EDF_4591_BE32_D74C38E8778A_.wvu.PrintArea" localSheetId="0" hidden="1">'Feb 22'!$B$2:$N$454</definedName>
    <definedName name="Z_5523E9AF_1EDF_4591_BE32_D74C38E8778A_.wvu.PrintTitles" localSheetId="0" hidden="1">'Feb 22'!$8:$8</definedName>
    <definedName name="Z_5992C8BA_ADCD_4795_88E6_EF383F4EA8D4_.wvu.Cols" localSheetId="0" hidden="1">'Feb 22'!#REF!,'Feb 22'!#REF!,'Feb 22'!#REF!</definedName>
    <definedName name="Z_5992C8BA_ADCD_4795_88E6_EF383F4EA8D4_.wvu.FilterData" localSheetId="0" hidden="1">'Feb 22'!$B$8:$N$224</definedName>
    <definedName name="Z_5992C8BA_ADCD_4795_88E6_EF383F4EA8D4_.wvu.PrintArea" localSheetId="0" hidden="1">'Feb 22'!$B$1:$N$451</definedName>
    <definedName name="Z_5992C8BA_ADCD_4795_88E6_EF383F4EA8D4_.wvu.PrintTitles" localSheetId="0" hidden="1">'Feb 22'!$8:$8</definedName>
    <definedName name="Z_610C49C4_F2CA_4673_AE2E_557048D90230_.wvu.FilterData" localSheetId="0" hidden="1">'Feb 22'!$B$8:$N$449</definedName>
    <definedName name="Z_6A342D6E_F69F_4540_B4BE_AFF4EBD8220E_.wvu.FilterData" localSheetId="0" hidden="1">'Feb 22'!$B$8:$N$224</definedName>
    <definedName name="Z_751C391B_F5E8_4956_8561_2BAF40BC80F0_.wvu.FilterData" localSheetId="1" hidden="1">'Center Balance'!$A$1:$F$47</definedName>
    <definedName name="Z_751C391B_F5E8_4956_8561_2BAF40BC80F0_.wvu.FilterData" localSheetId="0" hidden="1">'Feb 22'!$B$8:$P$449</definedName>
    <definedName name="Z_751C391B_F5E8_4956_8561_2BAF40BC80F0_.wvu.FilterData" localSheetId="5" hidden="1">Table!$A$1:$C$531</definedName>
    <definedName name="Z_751C391B_F5E8_4956_8561_2BAF40BC80F0_.wvu.PrintArea" localSheetId="0" hidden="1">'Feb 22'!$B$2:$N$454</definedName>
    <definedName name="Z_751C391B_F5E8_4956_8561_2BAF40BC80F0_.wvu.PrintTitles" localSheetId="0" hidden="1">'Feb 22'!$8:$8</definedName>
    <definedName name="Z_80BED788_9A90_4118_A079_D87F7EB8380A_.wvu.FilterData" localSheetId="1" hidden="1">'Center Balance'!$A$1:$F$47</definedName>
    <definedName name="Z_80BED788_9A90_4118_A079_D87F7EB8380A_.wvu.FilterData" localSheetId="0" hidden="1">'Feb 22'!$B$8:$N$449</definedName>
    <definedName name="Z_80BED788_9A90_4118_A079_D87F7EB8380A_.wvu.FilterData" localSheetId="5" hidden="1">Table!$A$1:$C$531</definedName>
    <definedName name="Z_80BED788_9A90_4118_A079_D87F7EB8380A_.wvu.PrintArea" localSheetId="0" hidden="1">'Feb 22'!$B$2:$N$454</definedName>
    <definedName name="Z_80BED788_9A90_4118_A079_D87F7EB8380A_.wvu.PrintTitles" localSheetId="0" hidden="1">'Feb 22'!$8:$8</definedName>
    <definedName name="Z_87D2D016_5049_4054_85DB_0FB21C149DBE_.wvu.FilterData" localSheetId="4" hidden="1">'2021'!$A$167:$AF$203</definedName>
    <definedName name="Z_87D2D016_5049_4054_85DB_0FB21C149DBE_.wvu.FilterData" localSheetId="1" hidden="1">'Center Balance'!$A$1:$F$47</definedName>
    <definedName name="Z_87D2D016_5049_4054_85DB_0FB21C149DBE_.wvu.FilterData" localSheetId="0" hidden="1">'Feb 22'!$B$8:$P$449</definedName>
    <definedName name="Z_87D2D016_5049_4054_85DB_0FB21C149DBE_.wvu.FilterData" localSheetId="5" hidden="1">Table!$A$1:$C$531</definedName>
    <definedName name="Z_87D2D016_5049_4054_85DB_0FB21C149DBE_.wvu.PrintArea" localSheetId="0" hidden="1">'Feb 22'!$B$2:$N$454</definedName>
    <definedName name="Z_87D2D016_5049_4054_85DB_0FB21C149DBE_.wvu.PrintTitles" localSheetId="0" hidden="1">'Feb 22'!$8:$8</definedName>
    <definedName name="Z_90340A06_DC5E_4F40_8DC2_A3BEFC55F0DA_.wvu.FilterData" localSheetId="0" hidden="1">'Feb 22'!$B$8:$N$461</definedName>
    <definedName name="Z_A38639FA_D138_4554_858F_951B7BE56A15_.wvu.FilterData" localSheetId="1" hidden="1">'Center Balance'!$A$1:$F$47</definedName>
    <definedName name="Z_A38639FA_D138_4554_858F_951B7BE56A15_.wvu.FilterData" localSheetId="0" hidden="1">'Feb 22'!$B$8:$N$449</definedName>
    <definedName name="Z_A38639FA_D138_4554_858F_951B7BE56A15_.wvu.FilterData" localSheetId="5" hidden="1">Table!$A$1:$C$531</definedName>
    <definedName name="Z_A38639FA_D138_4554_858F_951B7BE56A15_.wvu.PrintArea" localSheetId="0" hidden="1">'Feb 22'!$B$2:$N$454</definedName>
    <definedName name="Z_A38639FA_D138_4554_858F_951B7BE56A15_.wvu.PrintTitles" localSheetId="0" hidden="1">'Feb 22'!$8:$8</definedName>
    <definedName name="Z_A3B080AB_09FD_4CB9_A130_A37F1000447B_.wvu.FilterData" localSheetId="0" hidden="1">'Feb 22'!$B$8:$N$461</definedName>
    <definedName name="Z_A3B080AB_09FD_4CB9_A130_A37F1000447B_.wvu.FilterData" localSheetId="5" hidden="1">Table!$A$1:$C$531</definedName>
    <definedName name="Z_A3B080AB_09FD_4CB9_A130_A37F1000447B_.wvu.PrintArea" localSheetId="0" hidden="1">'Feb 22'!$B$1:$N$506</definedName>
    <definedName name="Z_A3B080AB_09FD_4CB9_A130_A37F1000447B_.wvu.PrintTitles" localSheetId="0" hidden="1">'Feb 22'!$8:$8</definedName>
    <definedName name="Z_AEEAA14F_7C57_4E9D_9C54_2498B3917CA3_.wvu.FilterData" localSheetId="1" hidden="1">'Center Balance'!$A$1:$F$1</definedName>
    <definedName name="Z_AEEAA14F_7C57_4E9D_9C54_2498B3917CA3_.wvu.FilterData" localSheetId="0" hidden="1">'Feb 22'!$B$8:$N$449</definedName>
    <definedName name="Z_AEEAA14F_7C57_4E9D_9C54_2498B3917CA3_.wvu.FilterData" localSheetId="5" hidden="1">Table!$A$1:$C$531</definedName>
    <definedName name="Z_AEEAA14F_7C57_4E9D_9C54_2498B3917CA3_.wvu.PrintArea" localSheetId="0" hidden="1">'Feb 22'!$B$2:$N$454</definedName>
    <definedName name="Z_AEEAA14F_7C57_4E9D_9C54_2498B3917CA3_.wvu.PrintTitles" localSheetId="0" hidden="1">'Feb 22'!$8:$8</definedName>
    <definedName name="Z_B0FD7D71_8FB9_4DAB_9956_8301F0AAA345_.wvu.FilterData" localSheetId="4" hidden="1">'2021'!$A$167:$AF$203</definedName>
    <definedName name="Z_B0FD7D71_8FB9_4DAB_9956_8301F0AAA345_.wvu.FilterData" localSheetId="1" hidden="1">'Center Balance'!$A$1:$F$47</definedName>
    <definedName name="Z_B0FD7D71_8FB9_4DAB_9956_8301F0AAA345_.wvu.FilterData" localSheetId="0" hidden="1">'Feb 22'!$A$8:$R$449</definedName>
    <definedName name="Z_B0FD7D71_8FB9_4DAB_9956_8301F0AAA345_.wvu.FilterData" localSheetId="5" hidden="1">Table!$A$1:$C$531</definedName>
    <definedName name="Z_B0FD7D71_8FB9_4DAB_9956_8301F0AAA345_.wvu.PrintArea" localSheetId="0" hidden="1">'Feb 22'!$B$2:$N$454</definedName>
    <definedName name="Z_B0FD7D71_8FB9_4DAB_9956_8301F0AAA345_.wvu.PrintTitles" localSheetId="0" hidden="1">'Feb 22'!$8:$8</definedName>
    <definedName name="Z_B8821580_3904_4D82_8451_A388E46F41B8_.wvu.FilterData" localSheetId="0" hidden="1">'Feb 22'!$B$8:$P$449</definedName>
    <definedName name="Z_CD8809EB_819B_4D2F_9A5A_7AD4415A15C7_.wvu.FilterData" localSheetId="1" hidden="1">'Center Balance'!$A$1:$F$1</definedName>
    <definedName name="Z_CD8809EB_819B_4D2F_9A5A_7AD4415A15C7_.wvu.FilterData" localSheetId="0" hidden="1">'Feb 22'!$B$8:$N$449</definedName>
    <definedName name="Z_CD8809EB_819B_4D2F_9A5A_7AD4415A15C7_.wvu.FilterData" localSheetId="5" hidden="1">Table!$A$1:$C$531</definedName>
    <definedName name="Z_CD8809EB_819B_4D2F_9A5A_7AD4415A15C7_.wvu.PrintArea" localSheetId="0" hidden="1">'Feb 22'!$B$2:$N$454</definedName>
    <definedName name="Z_CD8809EB_819B_4D2F_9A5A_7AD4415A15C7_.wvu.PrintTitles" localSheetId="0" hidden="1">'Feb 22'!$8:$8</definedName>
    <definedName name="Z_DDFEC649_94B4_4AA7_8FA0_4F0C72DB351E_.wvu.FilterData" localSheetId="4" hidden="1">'2021'!$A$167:$AF$203</definedName>
    <definedName name="Z_DDFEC649_94B4_4AA7_8FA0_4F0C72DB351E_.wvu.FilterData" localSheetId="1" hidden="1">'Center Balance'!$A$1:$F$47</definedName>
    <definedName name="Z_DDFEC649_94B4_4AA7_8FA0_4F0C72DB351E_.wvu.FilterData" localSheetId="0" hidden="1">'Feb 22'!$B$8:$N$449</definedName>
    <definedName name="Z_DDFEC649_94B4_4AA7_8FA0_4F0C72DB351E_.wvu.FilterData" localSheetId="5" hidden="1">Table!$A$1:$C$531</definedName>
    <definedName name="Z_DDFEC649_94B4_4AA7_8FA0_4F0C72DB351E_.wvu.PrintArea" localSheetId="0" hidden="1">'Feb 22'!$B$2:$N$454</definedName>
    <definedName name="Z_DDFEC649_94B4_4AA7_8FA0_4F0C72DB351E_.wvu.PrintTitles" localSheetId="0" hidden="1">'Feb 22'!$8:$8</definedName>
    <definedName name="Z_DF44DCB1_0A30_4B1A_B2AB_311F6E2FC08A_.wvu.FilterData" localSheetId="4" hidden="1">'2021'!$A$167:$AF$203</definedName>
    <definedName name="Z_DF44DCB1_0A30_4B1A_B2AB_311F6E2FC08A_.wvu.FilterData" localSheetId="1" hidden="1">'Center Balance'!$A$1:$F$47</definedName>
    <definedName name="Z_DF44DCB1_0A30_4B1A_B2AB_311F6E2FC08A_.wvu.FilterData" localSheetId="0" hidden="1">'Feb 22'!$B$8:$P$449</definedName>
    <definedName name="Z_DF44DCB1_0A30_4B1A_B2AB_311F6E2FC08A_.wvu.FilterData" localSheetId="5" hidden="1">Table!$A$1:$C$531</definedName>
    <definedName name="Z_DF44DCB1_0A30_4B1A_B2AB_311F6E2FC08A_.wvu.PrintArea" localSheetId="0" hidden="1">'Feb 22'!$B$2:$N$454</definedName>
    <definedName name="Z_DF44DCB1_0A30_4B1A_B2AB_311F6E2FC08A_.wvu.PrintTitles" localSheetId="0" hidden="1">'Feb 22'!$8:$8</definedName>
    <definedName name="Z_F65C9778_5E6F_4FB6_8315_82D18A725BD9_.wvu.FilterData" localSheetId="1" hidden="1">'Center Balance'!$A$1:$F$1</definedName>
    <definedName name="Z_F65C9778_5E6F_4FB6_8315_82D18A725BD9_.wvu.FilterData" localSheetId="0" hidden="1">'Feb 22'!$B$8:$N$449</definedName>
    <definedName name="Z_F65C9778_5E6F_4FB6_8315_82D18A725BD9_.wvu.FilterData" localSheetId="5" hidden="1">Table!$A$1:$C$531</definedName>
    <definedName name="Z_F65C9778_5E6F_4FB6_8315_82D18A725BD9_.wvu.PrintArea" localSheetId="0" hidden="1">'Feb 22'!$B$2:$N$454</definedName>
    <definedName name="Z_F65C9778_5E6F_4FB6_8315_82D18A725BD9_.wvu.PrintTitles" localSheetId="0" hidden="1">'Feb 22'!$8:$8</definedName>
  </definedNames>
  <calcPr calcId="191029" calcOnSave="0" concurrentCalc="0"/>
  <customWorkbookViews>
    <customWorkbookView name="GALVEZ Maria - Personal View" guid="{3E7D2425-DF29-48A5-8E4F-453269C0181F}" mergeInterval="0" personalView="1" maximized="1" xWindow="323" yWindow="-1088" windowWidth="1936" windowHeight="1056" tabRatio="601" activeSheetId="2"/>
    <customWorkbookView name="AO Carolyn - Personal View" guid="{32DB0659-95CA-464A-A9E5-65C29D151BE4}" mergeInterval="0" personalView="1" maximized="1" xWindow="1114" yWindow="-1088" windowWidth="1936" windowHeight="1056" tabRatio="601" activeSheetId="1"/>
    <customWorkbookView name="Rosa Ren - Personal View" guid="{06CC192D-486E-4A0B-A9B7-ADD9AC2DD655}" mergeInterval="0" personalView="1" maximized="1" xWindow="-8" yWindow="-8" windowWidth="1936" windowHeight="1056" tabRatio="502" activeSheetId="1"/>
    <customWorkbookView name="Serena Wu - Personal View" guid="{49BE8609-8A6F-45AF-B04A-D50C5E8ACCA5}" mergeInterval="0" personalView="1" maximized="1" xWindow="-11" yWindow="-11" windowWidth="1942" windowHeight="1042" tabRatio="601" activeSheetId="1"/>
    <customWorkbookView name="LIPSCHITZ Marilyn - Personal View" guid="{2E87D9A1-0A21-4C5A-A792-7570A50008B7}" mergeInterval="0" personalView="1" maximized="1" xWindow="1912" yWindow="-8" windowWidth="1936" windowHeight="1056" tabRatio="601" activeSheetId="2"/>
    <customWorkbookView name="Jingyi Yan - Personal View" guid="{A38639FA-D138-4554-858F-951B7BE56A15}" mergeInterval="0" personalView="1" maximized="1" xWindow="-1928" yWindow="-8" windowWidth="1936" windowHeight="1056" tabRatio="601" activeSheetId="1"/>
    <customWorkbookView name="Christine Pae - Personal View" guid="{529DBED2-7F14-4DC1-BD8C-88C4DA357099}" mergeInterval="0" personalView="1" maximized="1" xWindow="-9" yWindow="-9" windowWidth="1938" windowHeight="1048" tabRatio="601" activeSheetId="1"/>
    <customWorkbookView name="Andie Li - Personal View" guid="{751C391B-F5E8-4956-8561-2BAF40BC80F0}" mergeInterval="0" personalView="1" maximized="1" xWindow="-9" yWindow="-9" windowWidth="1938" windowHeight="1048" tabRatio="601" activeSheetId="1"/>
    <customWorkbookView name="CHEN Menn - Personal View" guid="{80BED788-9A90-4118-A079-D87F7EB8380A}" mergeInterval="0" personalView="1" maximized="1" xWindow="-11" yWindow="-11" windowWidth="1942" windowHeight="1042" tabRatio="601" activeSheetId="1"/>
    <customWorkbookView name="Michele Lam - Personal View" guid="{F65C9778-5E6F-4FB6-8315-82D18A725BD9}" mergeInterval="0" personalView="1" maximized="1" xWindow="-8" yWindow="-8" windowWidth="1936" windowHeight="1056" tabRatio="601" activeSheetId="1"/>
    <customWorkbookView name="Betsey Mou - Personal View" guid="{4B9DF69E-6558-4329-9C41-5127D788913B}" mergeInterval="0" personalView="1" maximized="1" xWindow="-8" yWindow="-8" windowWidth="1936" windowHeight="1056" tabRatio="601" activeSheetId="1"/>
    <customWorkbookView name="Jini Son - Personal View" guid="{CD8809EB-819B-4D2F-9A5A-7AD4415A15C7}" mergeInterval="0" personalView="1" maximized="1" xWindow="-8" yWindow="-8" windowWidth="1936" windowHeight="1056" tabRatio="601" activeSheetId="1"/>
    <customWorkbookView name="Phanith Taing - Personal View" guid="{A3B080AB-09FD-4CB9-A130-A37F1000447B}" mergeInterval="0" personalView="1" maximized="1" windowWidth="1920" windowHeight="894" tabRatio="816" activeSheetId="1" showComments="commIndAndComment"/>
    <customWorkbookView name="Westfield - Personal View" guid="{4E4F6B88-726E-4851-9CD2-D50D2DC430EB}" mergeInterval="0" personalView="1" maximized="1" windowWidth="1276" windowHeight="773" activeSheetId="3"/>
    <customWorkbookView name="Rudolph De Santiago - Personal View" guid="{5992C8BA-ADCD-4795-88E6-EF383F4EA8D4}" mergeInterval="0" personalView="1" maximized="1" windowWidth="1916" windowHeight="855" activeSheetId="10"/>
    <customWorkbookView name="Tifany Lestari - Personal View" guid="{5523E9AF-1EDF-4591-BE32-D74C38E8778A}" mergeInterval="0" personalView="1" maximized="1" xWindow="-8" yWindow="-8" windowWidth="1616" windowHeight="876" tabRatio="601" activeSheetId="1"/>
    <customWorkbookView name="Catherine Ryu - Personal View" guid="{AEEAA14F-7C57-4E9D-9C54-2498B3917CA3}" mergeInterval="0" personalView="1" maximized="1" xWindow="1592" yWindow="-8" windowWidth="1936" windowHeight="1056" tabRatio="601" activeSheetId="1"/>
    <customWorkbookView name="Juliana Sanchez - Personal View" guid="{3D1397D4-6E14-422B-BF17-85500BB6C48E}" mergeInterval="0" personalView="1" maximized="1" xWindow="1912" yWindow="-8" windowWidth="1616" windowHeight="876" tabRatio="601" activeSheetId="1"/>
    <customWorkbookView name="LESTARI Tifany - Personal View" guid="{87D2D016-5049-4054-85DB-0FB21C149DBE}" mergeInterval="0" personalView="1" maximized="1" xWindow="2248" yWindow="417" windowWidth="1936" windowHeight="1056" tabRatio="601" activeSheetId="1"/>
    <customWorkbookView name="James Yuan - Personal View" guid="{DF44DCB1-0A30-4B1A-B2AB-311F6E2FC08A}" mergeInterval="0" personalView="1" maximized="1" xWindow="1592" yWindow="-8" windowWidth="1936" windowHeight="1056" tabRatio="601" activeSheetId="1"/>
    <customWorkbookView name="Yan Chen - Personal View" guid="{DDFEC649-94B4-4AA7-8FA0-4F0C72DB351E}" mergeInterval="0" personalView="1" maximized="1" xWindow="-1928" yWindow="-8" windowWidth="1936" windowHeight="1056" tabRatio="601" activeSheetId="1"/>
    <customWorkbookView name="Michelle Ma - Personal View" guid="{B0FD7D71-8FB9-4DAB-9956-8301F0AAA345}" mergeInterval="0" personalView="1" maximized="1" xWindow="-8" yWindow="-8" windowWidth="1616" windowHeight="876" tabRatio="601" activeSheetId="1"/>
    <customWorkbookView name="MIRANDA Antonio - Personal View" guid="{2D5DCD2C-90EA-4D42-81FC-740192C56039}" mergeInterval="0" personalView="1" maximized="1" xWindow="-11" yWindow="-11" windowWidth="1942" windowHeight="1042" tabRatio="601"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33" i="1" l="1"/>
  <c r="M269" i="1"/>
  <c r="M268" i="1"/>
  <c r="M393" i="1"/>
  <c r="M386" i="1"/>
  <c r="M324" i="1"/>
  <c r="M254" i="1"/>
  <c r="M250" i="1"/>
  <c r="M123" i="1"/>
  <c r="M67" i="1"/>
  <c r="M64" i="1"/>
  <c r="M62" i="1"/>
  <c r="M70" i="1"/>
  <c r="M69" i="1"/>
  <c r="M283" i="1"/>
  <c r="M16" i="1"/>
  <c r="M17" i="1"/>
  <c r="M352" i="1"/>
  <c r="M307" i="1"/>
  <c r="M301" i="1"/>
  <c r="M220" i="1"/>
  <c r="M149" i="1"/>
  <c r="M129" i="1"/>
  <c r="M130" i="1"/>
  <c r="M132" i="1"/>
  <c r="M133" i="1"/>
  <c r="D430" i="1"/>
  <c r="D431" i="1"/>
  <c r="B451" i="1"/>
  <c r="M9" i="1"/>
  <c r="M12" i="1"/>
  <c r="M14" i="1"/>
  <c r="M15" i="1"/>
  <c r="M18" i="1"/>
  <c r="M19" i="1"/>
  <c r="M22" i="1"/>
  <c r="M24" i="1"/>
  <c r="M25" i="1"/>
  <c r="M27" i="1"/>
  <c r="M29" i="1"/>
  <c r="M30" i="1"/>
  <c r="M31" i="1"/>
  <c r="M33" i="1"/>
  <c r="M34" i="1"/>
  <c r="M36" i="1"/>
  <c r="M37" i="1"/>
  <c r="M38" i="1"/>
  <c r="M39" i="1"/>
  <c r="M40" i="1"/>
  <c r="M41" i="1"/>
  <c r="M43" i="1"/>
  <c r="M44" i="1"/>
  <c r="M45" i="1"/>
  <c r="M46" i="1"/>
  <c r="M48" i="1"/>
  <c r="M49" i="1"/>
  <c r="M51" i="1"/>
  <c r="M52" i="1"/>
  <c r="M53" i="1"/>
  <c r="M54" i="1"/>
  <c r="M55" i="1"/>
  <c r="M57" i="1"/>
  <c r="M58" i="1"/>
  <c r="M60" i="1"/>
  <c r="M74" i="1"/>
  <c r="M75" i="1"/>
  <c r="M80" i="1"/>
  <c r="M81" i="1"/>
  <c r="M82" i="1"/>
  <c r="M83" i="1"/>
  <c r="M84" i="1"/>
  <c r="M85" i="1"/>
  <c r="M87" i="1"/>
  <c r="M88" i="1"/>
  <c r="M89" i="1"/>
  <c r="M90" i="1"/>
  <c r="M91" i="1"/>
  <c r="M92" i="1"/>
  <c r="M93" i="1"/>
  <c r="M94" i="1"/>
  <c r="M95" i="1"/>
  <c r="M96" i="1"/>
  <c r="M99" i="1"/>
  <c r="M101" i="1"/>
  <c r="M102" i="1"/>
  <c r="M105" i="1"/>
  <c r="M106" i="1"/>
  <c r="M107" i="1"/>
  <c r="M109" i="1"/>
  <c r="M110" i="1"/>
  <c r="M116" i="1"/>
  <c r="M117" i="1"/>
  <c r="M118" i="1"/>
  <c r="M119" i="1"/>
  <c r="M120" i="1"/>
  <c r="M122" i="1"/>
  <c r="M124" i="1"/>
  <c r="M125" i="1"/>
  <c r="M127" i="1"/>
  <c r="M128" i="1"/>
  <c r="M134" i="1"/>
  <c r="M135" i="1"/>
  <c r="M136" i="1"/>
  <c r="M137" i="1"/>
  <c r="M138" i="1"/>
  <c r="M139" i="1"/>
  <c r="M140" i="1"/>
  <c r="M141" i="1"/>
  <c r="M142" i="1"/>
  <c r="M144" i="1"/>
  <c r="M145" i="1"/>
  <c r="M150" i="1"/>
  <c r="M156" i="1"/>
  <c r="M157" i="1"/>
  <c r="M169" i="1"/>
  <c r="M170" i="1"/>
  <c r="M171" i="1"/>
  <c r="M172" i="1"/>
  <c r="M173" i="1"/>
  <c r="M175" i="1"/>
  <c r="M183" i="1"/>
  <c r="M184" i="1"/>
  <c r="M186" i="1"/>
  <c r="M187" i="1"/>
  <c r="M188" i="1"/>
  <c r="M189" i="1"/>
  <c r="M192" i="1"/>
  <c r="M193" i="1"/>
  <c r="M197" i="1"/>
  <c r="M199" i="1"/>
  <c r="M200" i="1"/>
  <c r="M202" i="1"/>
  <c r="M203" i="1"/>
  <c r="M204" i="1"/>
  <c r="M213" i="1"/>
  <c r="M214" i="1"/>
  <c r="M216" i="1"/>
  <c r="M217" i="1"/>
  <c r="M218" i="1"/>
  <c r="M222" i="1"/>
  <c r="M223" i="1"/>
  <c r="M224" i="1"/>
  <c r="M229" i="1"/>
  <c r="M231" i="1"/>
  <c r="M232" i="1"/>
  <c r="M237" i="1"/>
  <c r="M241" i="1"/>
  <c r="M242" i="1"/>
  <c r="M244" i="1"/>
  <c r="M246" i="1"/>
  <c r="M248" i="1"/>
  <c r="M249" i="1"/>
  <c r="M251" i="1"/>
  <c r="M252" i="1"/>
  <c r="M253" i="1"/>
  <c r="M270" i="1"/>
  <c r="M271" i="1"/>
  <c r="M272" i="1"/>
  <c r="M280" i="1"/>
  <c r="M281" i="1"/>
  <c r="M282" i="1"/>
  <c r="M284" i="1"/>
  <c r="M285" i="1"/>
  <c r="M287" i="1"/>
  <c r="M288" i="1"/>
  <c r="M289" i="1"/>
  <c r="M291" i="1"/>
  <c r="M294" i="1"/>
  <c r="M295" i="1"/>
  <c r="M296" i="1"/>
  <c r="M297" i="1"/>
  <c r="M299" i="1"/>
  <c r="M300" i="1"/>
  <c r="M302" i="1"/>
  <c r="M303" i="1"/>
  <c r="M306" i="1"/>
  <c r="M309" i="1"/>
  <c r="M313" i="1"/>
  <c r="M314" i="1"/>
  <c r="M317" i="1"/>
  <c r="M318" i="1"/>
  <c r="M319" i="1"/>
  <c r="M320" i="1"/>
  <c r="M322" i="1"/>
  <c r="M323" i="1"/>
  <c r="M325" i="1"/>
  <c r="M330" i="1"/>
  <c r="M331" i="1"/>
  <c r="M332" i="1"/>
  <c r="M333" i="1"/>
  <c r="M335" i="1"/>
  <c r="M336" i="1"/>
  <c r="M337" i="1"/>
  <c r="M338" i="1"/>
  <c r="M339" i="1"/>
  <c r="M340" i="1"/>
  <c r="M343" i="1"/>
  <c r="M347" i="1"/>
  <c r="M349" i="1"/>
  <c r="M353" i="1"/>
  <c r="M356" i="1"/>
  <c r="M358" i="1"/>
  <c r="M359" i="1"/>
  <c r="M360" i="1"/>
  <c r="M361" i="1"/>
  <c r="M362" i="1"/>
  <c r="M363" i="1"/>
  <c r="M365" i="1"/>
  <c r="M366" i="1"/>
  <c r="M367" i="1"/>
  <c r="M369" i="1"/>
  <c r="M371" i="1"/>
  <c r="M372" i="1"/>
  <c r="M373" i="1"/>
  <c r="M375" i="1"/>
  <c r="M387" i="1"/>
  <c r="M398" i="1"/>
  <c r="M400" i="1"/>
  <c r="M402" i="1"/>
  <c r="M404" i="1"/>
  <c r="M405" i="1"/>
  <c r="M406" i="1"/>
  <c r="M407" i="1"/>
  <c r="M408" i="1"/>
  <c r="M411" i="1"/>
  <c r="M412" i="1"/>
  <c r="M416" i="1"/>
  <c r="M418" i="1"/>
  <c r="M420" i="1"/>
  <c r="M421" i="1"/>
  <c r="M423" i="1"/>
  <c r="M424" i="1"/>
  <c r="M425" i="1"/>
  <c r="M426" i="1"/>
  <c r="M427" i="1"/>
  <c r="M428" i="1"/>
  <c r="M430" i="1"/>
  <c r="M432" i="1"/>
  <c r="M433" i="1"/>
  <c r="M434" i="1"/>
  <c r="M435" i="1"/>
  <c r="M436" i="1"/>
  <c r="M437" i="1"/>
  <c r="M438" i="1"/>
  <c r="M439" i="1"/>
  <c r="M440" i="1"/>
  <c r="M441" i="1"/>
  <c r="M442" i="1"/>
  <c r="M445" i="1"/>
  <c r="M447" i="1"/>
  <c r="M451" i="1"/>
  <c r="M453" i="1"/>
  <c r="M454" i="1"/>
  <c r="C2" i="2"/>
  <c r="D2" i="2"/>
  <c r="C3" i="2"/>
  <c r="D3" i="2"/>
  <c r="C4" i="2"/>
  <c r="D4" i="2"/>
  <c r="C5" i="2"/>
  <c r="D5" i="2"/>
  <c r="C6" i="2"/>
  <c r="D6" i="2"/>
  <c r="C7" i="2"/>
  <c r="D7" i="2"/>
  <c r="C8" i="2"/>
  <c r="D8" i="2"/>
  <c r="C9" i="2"/>
  <c r="D9"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C45" i="2"/>
  <c r="D45" i="2"/>
  <c r="C46" i="2"/>
  <c r="D46" i="2"/>
  <c r="C47" i="2"/>
  <c r="D47" i="2"/>
  <c r="C48" i="2"/>
  <c r="D48" i="2"/>
  <c r="K58" i="1"/>
  <c r="K284" i="1"/>
  <c r="K27" i="1"/>
  <c r="C79" i="12"/>
  <c r="C68" i="12"/>
  <c r="C36" i="12"/>
  <c r="C31" i="12"/>
  <c r="C8" i="12"/>
  <c r="C6" i="12"/>
  <c r="C3" i="12"/>
  <c r="K243" i="1"/>
  <c r="K161" i="1"/>
  <c r="K75" i="1"/>
  <c r="K288" i="1"/>
  <c r="K402" i="1"/>
  <c r="K399" i="1"/>
  <c r="C32" i="12"/>
  <c r="C27" i="12"/>
  <c r="C103" i="12"/>
  <c r="C61" i="12"/>
  <c r="C85" i="12"/>
  <c r="C15" i="12"/>
  <c r="C2" i="12"/>
  <c r="C69" i="12"/>
  <c r="C95" i="12"/>
  <c r="C78" i="12"/>
  <c r="C67" i="12"/>
  <c r="C4" i="12"/>
  <c r="C125" i="12"/>
  <c r="C92" i="12"/>
  <c r="C89" i="12"/>
  <c r="C90" i="12"/>
  <c r="C65" i="12"/>
  <c r="C64" i="12"/>
  <c r="C51" i="12"/>
  <c r="C53" i="12"/>
  <c r="C45" i="12"/>
  <c r="C13" i="12"/>
  <c r="C9" i="12"/>
  <c r="C91" i="12"/>
  <c r="C86" i="12"/>
  <c r="C84" i="12"/>
  <c r="C38" i="12"/>
  <c r="C88" i="12"/>
  <c r="C104" i="12"/>
  <c r="C96" i="12"/>
  <c r="C46" i="12"/>
  <c r="C33" i="12"/>
  <c r="C30" i="12"/>
  <c r="C28" i="12"/>
  <c r="C14" i="12"/>
  <c r="C41" i="12"/>
  <c r="C66" i="12"/>
  <c r="C75" i="12"/>
  <c r="C77" i="12"/>
  <c r="C83" i="12"/>
  <c r="C93" i="12"/>
  <c r="C99" i="12"/>
  <c r="C109" i="12"/>
  <c r="C113" i="12"/>
  <c r="C130" i="12"/>
  <c r="C520" i="12"/>
  <c r="C521" i="12"/>
  <c r="C5" i="12"/>
  <c r="C7" i="12"/>
  <c r="C10" i="12"/>
  <c r="C11" i="12"/>
  <c r="C12" i="12"/>
  <c r="C16" i="12"/>
  <c r="C17" i="12"/>
  <c r="C18" i="12"/>
  <c r="C19" i="12"/>
  <c r="C20" i="12"/>
  <c r="C21" i="12"/>
  <c r="C22" i="12"/>
  <c r="C23" i="12"/>
  <c r="C24" i="12"/>
  <c r="C25" i="12"/>
  <c r="C26" i="12"/>
  <c r="C29" i="12"/>
  <c r="C34" i="12"/>
  <c r="C35" i="12"/>
  <c r="C37" i="12"/>
  <c r="C39" i="12"/>
  <c r="C40" i="12"/>
  <c r="C42" i="12"/>
  <c r="C43" i="12"/>
  <c r="C44" i="12"/>
  <c r="C47" i="12"/>
  <c r="C48" i="12"/>
  <c r="C49" i="12"/>
  <c r="C50" i="12"/>
  <c r="C52" i="12"/>
  <c r="C54" i="12"/>
  <c r="C55" i="12"/>
  <c r="C56" i="12"/>
  <c r="C57" i="12"/>
  <c r="C58" i="12"/>
  <c r="C59" i="12"/>
  <c r="C60" i="12"/>
  <c r="C62" i="12"/>
  <c r="C63" i="12"/>
  <c r="C70" i="12"/>
  <c r="C71" i="12"/>
  <c r="C72" i="12"/>
  <c r="C73" i="12"/>
  <c r="C74" i="12"/>
  <c r="C76" i="12"/>
  <c r="C80" i="12"/>
  <c r="C81" i="12"/>
  <c r="C82" i="12"/>
  <c r="C87" i="12"/>
  <c r="C94" i="12"/>
  <c r="C97" i="12"/>
  <c r="C98" i="12"/>
  <c r="C100" i="12"/>
  <c r="C102" i="12"/>
  <c r="C105" i="12"/>
  <c r="C106" i="12"/>
  <c r="C107" i="12"/>
  <c r="C108" i="12"/>
  <c r="C110" i="12"/>
  <c r="C111" i="12"/>
  <c r="C112" i="12"/>
  <c r="C114" i="12"/>
  <c r="C115" i="12"/>
  <c r="C116" i="12"/>
  <c r="C117" i="12"/>
  <c r="C118" i="12"/>
  <c r="C119" i="12"/>
  <c r="C120" i="12"/>
  <c r="C121" i="12"/>
  <c r="C122" i="12"/>
  <c r="C123" i="12"/>
  <c r="C124" i="12"/>
  <c r="C126" i="12"/>
  <c r="C127" i="12"/>
  <c r="C128" i="12"/>
  <c r="C129"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88" i="12"/>
  <c r="C389" i="12"/>
  <c r="C390"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C422" i="12"/>
  <c r="C423" i="12"/>
  <c r="C424" i="12"/>
  <c r="C425" i="12"/>
  <c r="C426" i="12"/>
  <c r="C427" i="12"/>
  <c r="C428" i="12"/>
  <c r="C429" i="12"/>
  <c r="C430" i="12"/>
  <c r="C431" i="12"/>
  <c r="C432" i="12"/>
  <c r="C433" i="12"/>
  <c r="C434" i="12"/>
  <c r="C435" i="12"/>
  <c r="C436" i="12"/>
  <c r="C437" i="12"/>
  <c r="C438" i="12"/>
  <c r="C439" i="12"/>
  <c r="C440" i="12"/>
  <c r="C441" i="12"/>
  <c r="C442" i="12"/>
  <c r="C443" i="12"/>
  <c r="C444" i="12"/>
  <c r="C445" i="12"/>
  <c r="C446" i="12"/>
  <c r="C447" i="12"/>
  <c r="C448" i="12"/>
  <c r="C449" i="12"/>
  <c r="C450" i="12"/>
  <c r="C451" i="12"/>
  <c r="C452" i="12"/>
  <c r="C453" i="12"/>
  <c r="C454" i="12"/>
  <c r="C455" i="12"/>
  <c r="C456" i="12"/>
  <c r="C457" i="12"/>
  <c r="C458" i="12"/>
  <c r="C459" i="12"/>
  <c r="C460" i="12"/>
  <c r="C461" i="12"/>
  <c r="C462" i="12"/>
  <c r="C463" i="12"/>
  <c r="C464" i="12"/>
  <c r="C465" i="12"/>
  <c r="C466" i="12"/>
  <c r="C467" i="12"/>
  <c r="C468" i="12"/>
  <c r="C469" i="12"/>
  <c r="C470" i="12"/>
  <c r="C471" i="12"/>
  <c r="C472" i="12"/>
  <c r="C473" i="12"/>
  <c r="C474" i="12"/>
  <c r="C475" i="12"/>
  <c r="C476" i="12"/>
  <c r="C477" i="12"/>
  <c r="C478" i="12"/>
  <c r="C479" i="12"/>
  <c r="C480" i="12"/>
  <c r="C481" i="12"/>
  <c r="C482" i="12"/>
  <c r="C483" i="12"/>
  <c r="C484" i="12"/>
  <c r="C485" i="12"/>
  <c r="C486" i="12"/>
  <c r="C487" i="12"/>
  <c r="C488" i="12"/>
  <c r="C489" i="12"/>
  <c r="C490" i="12"/>
  <c r="C491" i="12"/>
  <c r="C492" i="12"/>
  <c r="C493" i="12"/>
  <c r="C494" i="12"/>
  <c r="C495" i="12"/>
  <c r="C496" i="12"/>
  <c r="C497" i="12"/>
  <c r="C498" i="12"/>
  <c r="C499" i="12"/>
  <c r="C500" i="12"/>
  <c r="C501" i="12"/>
  <c r="C502" i="12"/>
  <c r="C503" i="12"/>
  <c r="C504" i="12"/>
  <c r="C505" i="12"/>
  <c r="C506" i="12"/>
  <c r="C507" i="12"/>
  <c r="C508" i="12"/>
  <c r="C509" i="12"/>
  <c r="C510" i="12"/>
  <c r="C511" i="12"/>
  <c r="C512" i="12"/>
  <c r="C513" i="12"/>
  <c r="C514" i="12"/>
  <c r="C515" i="12"/>
  <c r="C516" i="12"/>
  <c r="C517" i="12"/>
  <c r="C518" i="12"/>
  <c r="C519" i="12"/>
  <c r="G26" i="12"/>
  <c r="G27" i="12"/>
  <c r="G31" i="12"/>
  <c r="G34" i="12"/>
  <c r="G36" i="12"/>
  <c r="G38" i="12"/>
  <c r="G42" i="12"/>
  <c r="G44" i="12"/>
  <c r="G46" i="12"/>
  <c r="G47" i="12"/>
  <c r="G48" i="12"/>
  <c r="G51" i="12"/>
  <c r="G52" i="12"/>
  <c r="G53" i="12"/>
  <c r="G54" i="12"/>
  <c r="G55" i="12"/>
  <c r="G56" i="12"/>
  <c r="G58" i="12"/>
  <c r="G59" i="12"/>
  <c r="G63" i="12"/>
  <c r="G67" i="12"/>
  <c r="G74" i="12"/>
  <c r="G76" i="12"/>
  <c r="G77" i="12"/>
  <c r="G81" i="12"/>
  <c r="G83" i="12"/>
  <c r="G89" i="12"/>
  <c r="G91" i="12"/>
  <c r="G92" i="12"/>
  <c r="G94" i="12"/>
  <c r="G99" i="12"/>
  <c r="G103" i="12"/>
  <c r="G108" i="12"/>
  <c r="G111" i="12"/>
  <c r="G113" i="12"/>
  <c r="G115" i="12"/>
  <c r="G8" i="12"/>
  <c r="G10" i="12"/>
  <c r="G12" i="12"/>
  <c r="G13" i="12"/>
  <c r="G15" i="12"/>
  <c r="G18" i="12"/>
  <c r="G19" i="12"/>
  <c r="G20" i="12"/>
  <c r="G21" i="12"/>
  <c r="G22" i="12"/>
  <c r="G23" i="12"/>
  <c r="G24" i="12"/>
  <c r="G25" i="12"/>
  <c r="G4" i="12"/>
</calcChain>
</file>

<file path=xl/sharedStrings.xml><?xml version="1.0" encoding="utf-8"?>
<sst xmlns="http://schemas.openxmlformats.org/spreadsheetml/2006/main" count="12434" uniqueCount="3008">
  <si>
    <t>The Children's Place</t>
  </si>
  <si>
    <t>GameStop</t>
  </si>
  <si>
    <t>GL Date</t>
  </si>
  <si>
    <t>Outstanding Amount</t>
  </si>
  <si>
    <t>Last day to
request TA</t>
  </si>
  <si>
    <t>Tenant Allowance Payable</t>
  </si>
  <si>
    <t>Center</t>
  </si>
  <si>
    <t>Asset #</t>
  </si>
  <si>
    <t>Space #</t>
  </si>
  <si>
    <t>RCD</t>
  </si>
  <si>
    <t>Tenant Name</t>
  </si>
  <si>
    <t>Lease #</t>
  </si>
  <si>
    <t>Account #</t>
  </si>
  <si>
    <t>Accnt Description</t>
  </si>
  <si>
    <t>Date</t>
  </si>
  <si>
    <t>FC4</t>
  </si>
  <si>
    <t>FC5</t>
  </si>
  <si>
    <t>FC2</t>
  </si>
  <si>
    <t>Windsor Fashions</t>
  </si>
  <si>
    <t>0218</t>
  </si>
  <si>
    <t>FC3</t>
  </si>
  <si>
    <t>Old Navy</t>
  </si>
  <si>
    <t>Teavana</t>
  </si>
  <si>
    <t>Auntie Anne's</t>
  </si>
  <si>
    <t>Tumi</t>
  </si>
  <si>
    <t>Forever 21</t>
  </si>
  <si>
    <t>Brighton Collectibles</t>
  </si>
  <si>
    <t>Lenscrafters</t>
  </si>
  <si>
    <t>Champs Sports</t>
  </si>
  <si>
    <t>Doc Popcorn</t>
  </si>
  <si>
    <t>Comment</t>
  </si>
  <si>
    <t>Coach</t>
  </si>
  <si>
    <t>Zumiez</t>
  </si>
  <si>
    <t>Payless Shoesource</t>
  </si>
  <si>
    <t>A17</t>
  </si>
  <si>
    <t>Madewell</t>
  </si>
  <si>
    <t>Cartier</t>
  </si>
  <si>
    <t>General Nutrition Center</t>
  </si>
  <si>
    <t>J. Crew</t>
  </si>
  <si>
    <t>Fruiggies</t>
  </si>
  <si>
    <t>FC10</t>
  </si>
  <si>
    <t>Lush Fresh Handmade Cosmetics</t>
  </si>
  <si>
    <t>Pandora</t>
  </si>
  <si>
    <t>Aldo</t>
  </si>
  <si>
    <t>Life of the Lease</t>
  </si>
  <si>
    <t>FC15</t>
  </si>
  <si>
    <t>H&amp;M</t>
  </si>
  <si>
    <t>12204</t>
  </si>
  <si>
    <t xml:space="preserve"> </t>
  </si>
  <si>
    <t>G</t>
  </si>
  <si>
    <t>12211</t>
  </si>
  <si>
    <t>White House | Black Market</t>
  </si>
  <si>
    <t>12234</t>
  </si>
  <si>
    <t>12235</t>
  </si>
  <si>
    <t>Francesca's Collection</t>
  </si>
  <si>
    <t>12280</t>
  </si>
  <si>
    <t>12255</t>
  </si>
  <si>
    <t>12266</t>
  </si>
  <si>
    <t>12267</t>
  </si>
  <si>
    <t>12269</t>
  </si>
  <si>
    <t>12271</t>
  </si>
  <si>
    <t>12286</t>
  </si>
  <si>
    <t>12291</t>
  </si>
  <si>
    <t>12292</t>
  </si>
  <si>
    <t>12293</t>
  </si>
  <si>
    <t>12294</t>
  </si>
  <si>
    <t>12297</t>
  </si>
  <si>
    <t>12327</t>
  </si>
  <si>
    <t>12263</t>
  </si>
  <si>
    <t>Justice</t>
  </si>
  <si>
    <t>12232</t>
  </si>
  <si>
    <t>12229</t>
  </si>
  <si>
    <t>12206</t>
  </si>
  <si>
    <t>Devon's Jewelers</t>
  </si>
  <si>
    <t>Journeys</t>
  </si>
  <si>
    <t>See's Candies</t>
  </si>
  <si>
    <t>Claire's</t>
  </si>
  <si>
    <t>CTI Balance Entry</t>
  </si>
  <si>
    <t>N/A</t>
  </si>
  <si>
    <t>Permanent balance - working with Corp. Finance to fix it</t>
  </si>
  <si>
    <t>Athleta</t>
  </si>
  <si>
    <t>Co</t>
  </si>
  <si>
    <t>Name</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</si>
  <si>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</si>
  <si>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</si>
  <si>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</si>
  <si>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</si>
  <si>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</si>
  <si>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</si>
  <si>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</si>
  <si>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</si>
  <si>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</si>
  <si>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</si>
  <si>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</si>
  <si>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</si>
  <si>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</si>
  <si>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</si>
  <si>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</si>
  <si>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</si>
  <si>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</si>
  <si>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</si>
  <si>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</si>
  <si>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</si>
  <si>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</si>
  <si>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</si>
  <si>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</si>
  <si>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</si>
  <si>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</si>
  <si>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Fashion Square</t>
  </si>
  <si>
    <t>Culver City Mall LP</t>
  </si>
  <si>
    <t>Culver City Office</t>
  </si>
  <si>
    <t>Fox Valley</t>
  </si>
  <si>
    <t>Franklin Park</t>
  </si>
  <si>
    <t>Galleria at Roseville</t>
  </si>
  <si>
    <t>Garden State Plaza</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</si>
  <si>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</si>
  <si>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</si>
  <si>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</si>
  <si>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</si>
  <si>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</si>
  <si>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</si>
  <si>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</si>
  <si>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</si>
  <si>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</si>
  <si>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</si>
  <si>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</si>
  <si>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</si>
  <si>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</si>
  <si>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</si>
  <si>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</si>
  <si>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</si>
  <si>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</si>
  <si>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</si>
  <si>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</si>
  <si>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</si>
  <si>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</si>
  <si>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</si>
  <si>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</si>
  <si>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</si>
  <si>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</si>
  <si>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</si>
  <si>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</si>
  <si>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</si>
  <si>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</si>
  <si>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</si>
  <si>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Oakridge</t>
  </si>
  <si>
    <t>Old Orchard</t>
  </si>
  <si>
    <t>Old Orchard Office</t>
  </si>
  <si>
    <t>Palm Desert</t>
  </si>
  <si>
    <t>Parkway</t>
  </si>
  <si>
    <t>Plaza Bonita</t>
  </si>
  <si>
    <t>Plaza Bonita-Mervyn's</t>
  </si>
  <si>
    <t>Plaza Bonita II LP</t>
  </si>
  <si>
    <t>Plaza Camino Real</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</si>
  <si>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</si>
  <si>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</si>
  <si>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</si>
  <si>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</si>
  <si>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</si>
  <si>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</si>
  <si>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</si>
  <si>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</si>
  <si>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</si>
  <si>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</si>
  <si>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</si>
  <si>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</si>
  <si>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Southgate</t>
  </si>
  <si>
    <t>Southlake</t>
  </si>
  <si>
    <t>Southpark</t>
  </si>
  <si>
    <t>Sunrise</t>
  </si>
  <si>
    <t>Topanga</t>
  </si>
  <si>
    <t>Trumbull</t>
  </si>
  <si>
    <t>UTC</t>
  </si>
  <si>
    <t>Valencia</t>
  </si>
  <si>
    <t>Valencia North</t>
  </si>
  <si>
    <t>Valencia South</t>
  </si>
  <si>
    <t>Valley Fair</t>
  </si>
  <si>
    <t>Vancouver</t>
  </si>
  <si>
    <t>Vancouver-Mervyn's</t>
  </si>
  <si>
    <t>West County</t>
  </si>
  <si>
    <t>West Covina</t>
  </si>
  <si>
    <t>West Park</t>
  </si>
  <si>
    <t>West Valley</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</si>
  <si>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</si>
  <si>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</si>
  <si>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</si>
  <si>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</si>
  <si>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</si>
  <si>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</si>
  <si>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</si>
  <si>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</si>
  <si>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</si>
  <si>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</si>
  <si>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</si>
  <si>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</si>
  <si>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</si>
  <si>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</si>
  <si>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</si>
  <si>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</si>
  <si>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</si>
  <si>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</si>
  <si>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</si>
  <si>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CMF PCR RM</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</si>
  <si>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</si>
  <si>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</si>
  <si>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</si>
  <si>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</si>
  <si>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</si>
  <si>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</si>
  <si>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</si>
  <si>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</si>
  <si>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</si>
  <si>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</si>
  <si>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</si>
  <si>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</si>
  <si>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</si>
  <si>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Connecticut Houses</t>
  </si>
  <si>
    <t>Crestwood Houses</t>
  </si>
  <si>
    <t>New York Houses</t>
  </si>
  <si>
    <t>Starwood Metreon</t>
  </si>
  <si>
    <t>Fashion Square Service TRS Inc</t>
  </si>
  <si>
    <t>FH Financing LLC</t>
  </si>
  <si>
    <t>Culver City LP</t>
  </si>
  <si>
    <t>Culver City Mall LLC</t>
  </si>
  <si>
    <t>Fox Valley Mall LLC</t>
  </si>
  <si>
    <t>Garden State Plaza TRS Inc</t>
  </si>
  <si>
    <t>Gateway 1 LLC</t>
  </si>
  <si>
    <t>Gateway 2 LLC</t>
  </si>
  <si>
    <t>Great Northern Partnership</t>
  </si>
  <si>
    <t>Growth Head GP LLC</t>
  </si>
  <si>
    <t>Hahn-UPI Ltd Partnership</t>
  </si>
  <si>
    <t>Hawthorn LP</t>
  </si>
  <si>
    <t>Hawthorn Theatre LLC</t>
  </si>
  <si>
    <t>Head Acquistion 1 LP</t>
  </si>
  <si>
    <t xml:space="preserve"> Head Acquistion 2 LP</t>
  </si>
  <si>
    <t>Horton Land LLC</t>
  </si>
  <si>
    <t>Horton Plaza Holding LP</t>
  </si>
  <si>
    <t>Horton Plaza LLC</t>
  </si>
  <si>
    <t>Horton Plaza Venture LLC</t>
  </si>
  <si>
    <t>Independence Mall Assoc LP</t>
  </si>
  <si>
    <t>Independence Service, LLC</t>
  </si>
  <si>
    <t>Los Cerritos Center LLC</t>
  </si>
  <si>
    <t>Louis Joliet Holdings Inc</t>
  </si>
  <si>
    <t>Louis Joliet Shoppingtown LLC</t>
  </si>
  <si>
    <t>Meriden Square 1 LLC</t>
  </si>
  <si>
    <t xml:space="preserve"> Meriden Square 2 LLC</t>
  </si>
  <si>
    <t xml:space="preserve"> 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</si>
  <si>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</si>
  <si>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</si>
  <si>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</si>
  <si>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</si>
  <si>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</si>
  <si>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</si>
  <si>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</si>
  <si>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</si>
  <si>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</si>
  <si>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</si>
  <si>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</si>
  <si>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</si>
  <si>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</si>
  <si>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</si>
  <si>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</si>
  <si>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</si>
  <si>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</si>
  <si>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</si>
  <si>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</si>
  <si>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</si>
  <si>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</si>
  <si>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</si>
  <si>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</si>
  <si>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</si>
  <si>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</si>
  <si>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</si>
  <si>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</si>
  <si>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</si>
  <si>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</si>
  <si>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</si>
  <si>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</si>
  <si>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</si>
  <si>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</si>
  <si>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</si>
  <si>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</si>
  <si>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</si>
  <si>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</si>
  <si>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</si>
  <si>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</si>
  <si>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</si>
  <si>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</si>
  <si>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</si>
  <si>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</si>
  <si>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</si>
  <si>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</si>
  <si>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</si>
  <si>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</si>
  <si>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</si>
  <si>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</si>
  <si>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</si>
  <si>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</si>
  <si>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</si>
  <si>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</si>
  <si>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</si>
  <si>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</si>
  <si>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</si>
  <si>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</si>
  <si>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</si>
  <si>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</si>
  <si>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</si>
  <si>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</si>
  <si>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</si>
  <si>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</si>
  <si>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The Connecticut Post LP</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</si>
  <si>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</si>
  <si>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</si>
  <si>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</si>
  <si>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</si>
  <si>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</si>
  <si>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</si>
  <si>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</si>
  <si>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</si>
  <si>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</si>
  <si>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</si>
  <si>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</si>
  <si>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</si>
  <si>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</si>
  <si>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</si>
  <si>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</si>
  <si>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</si>
  <si>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LLC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</si>
  <si>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</si>
  <si>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</si>
  <si>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</si>
  <si>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</si>
  <si>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</si>
  <si>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</si>
  <si>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</si>
  <si>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</si>
  <si>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</si>
  <si>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</si>
  <si>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</si>
  <si>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</si>
  <si>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</si>
  <si>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</si>
  <si>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</si>
  <si>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</si>
  <si>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</si>
  <si>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</si>
  <si>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</si>
  <si>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</si>
  <si>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</si>
  <si>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</si>
  <si>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</si>
  <si>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</si>
  <si>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</si>
  <si>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</si>
  <si>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</si>
  <si>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</si>
  <si>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</si>
  <si>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</si>
  <si>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</si>
  <si>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</si>
  <si>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</si>
  <si>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</si>
  <si>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</si>
  <si>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</si>
  <si>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</si>
  <si>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</si>
  <si>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</si>
  <si>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</si>
  <si>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</si>
  <si>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</si>
  <si>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</si>
  <si>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</si>
  <si>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</si>
  <si>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</si>
  <si>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</si>
  <si>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</si>
  <si>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</si>
  <si>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</si>
  <si>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</si>
  <si>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</si>
  <si>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</si>
  <si>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</si>
  <si>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</si>
  <si>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</si>
  <si>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</si>
  <si>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</si>
  <si>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Covina Inc</t>
  </si>
  <si>
    <t>Westfield America GP Inc</t>
  </si>
  <si>
    <t>Westfield America GP LLC</t>
  </si>
  <si>
    <t>Westfield America Investor LP</t>
  </si>
  <si>
    <t>Westfield America MS Inc</t>
  </si>
  <si>
    <t>Westfield Amer of Annapolis</t>
  </si>
  <si>
    <t>Westfield Amer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</si>
  <si>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</si>
  <si>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</si>
  <si>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</si>
  <si>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</si>
  <si>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</si>
  <si>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</si>
  <si>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</si>
  <si>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</si>
  <si>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</si>
  <si>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</si>
  <si>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</si>
  <si>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</si>
  <si>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</si>
  <si>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</si>
  <si>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</si>
  <si>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</si>
  <si>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</si>
  <si>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</si>
  <si>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</si>
  <si>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Inc</t>
  </si>
  <si>
    <t>Westfield Paramus Holdgs 2 Inc</t>
  </si>
  <si>
    <t>Westfield Paramus Holdgs 3 Inc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</si>
  <si>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</si>
  <si>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</si>
  <si>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</si>
  <si>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</si>
  <si>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</si>
  <si>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</si>
  <si>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</si>
  <si>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</si>
  <si>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</si>
  <si>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</si>
  <si>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</si>
  <si>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</si>
  <si>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</si>
  <si>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</si>
  <si>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</si>
  <si>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</si>
  <si>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</si>
  <si>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Wheaton Plaza 1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</si>
  <si>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</si>
  <si>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</si>
  <si>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</si>
  <si>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</si>
  <si>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</si>
  <si>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</si>
  <si>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</si>
  <si>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</si>
  <si>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</si>
  <si>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</si>
  <si>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</si>
  <si>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</si>
  <si>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</si>
  <si>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</si>
  <si>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</si>
  <si>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</si>
  <si>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 MP North LLC</t>
  </si>
  <si>
    <t>CMF Santa Anita LLC</t>
  </si>
  <si>
    <t>CMF UTC North LLC</t>
  </si>
  <si>
    <t>CMF MP South LLC</t>
  </si>
  <si>
    <t>CMF UTC South LLC</t>
  </si>
  <si>
    <t>CMF PWC LLC</t>
  </si>
  <si>
    <t>CMF NCF South LLC</t>
  </si>
  <si>
    <t>CMF NCF North LLC</t>
  </si>
  <si>
    <t>CMF Wheaton LLC</t>
  </si>
  <si>
    <t>CMF Wheaton Borrower LLC</t>
  </si>
  <si>
    <t xml:space="preserve"> CMF PCR LLC</t>
  </si>
  <si>
    <t>CMF Richland LLC</t>
  </si>
  <si>
    <t>Bunworth Enterprises LLC</t>
  </si>
  <si>
    <t>Bunworth Holdings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</si>
  <si>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</si>
  <si>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</si>
  <si>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</si>
  <si>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</si>
  <si>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</si>
  <si>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</si>
  <si>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</si>
  <si>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</si>
  <si>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</si>
  <si>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</si>
  <si>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</si>
  <si>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</si>
  <si>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Hawthorn Furniture, LLC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</si>
  <si>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</si>
  <si>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</si>
  <si>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</si>
  <si>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</si>
  <si>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</si>
  <si>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</si>
  <si>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</si>
  <si>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</si>
  <si>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</si>
  <si>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</si>
  <si>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</si>
  <si>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</si>
  <si>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</si>
  <si>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</si>
  <si>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</si>
  <si>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</si>
  <si>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</si>
  <si>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</si>
  <si>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</si>
  <si>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</si>
  <si>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</si>
  <si>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</si>
  <si>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</si>
  <si>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</si>
  <si>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</si>
  <si>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</si>
  <si>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</si>
  <si>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</si>
  <si>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</si>
  <si>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</si>
  <si>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</si>
  <si>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</si>
  <si>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</si>
  <si>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</si>
  <si>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</si>
  <si>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Oakridge1 LP</t>
  </si>
  <si>
    <t>Oakridge2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</si>
  <si>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</si>
  <si>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</si>
  <si>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</si>
  <si>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</si>
  <si>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</si>
  <si>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</si>
  <si>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</si>
  <si>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</si>
  <si>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</si>
  <si>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</si>
  <si>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</si>
  <si>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</si>
  <si>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</si>
  <si>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</si>
  <si>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</si>
  <si>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</si>
  <si>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</si>
  <si>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</si>
  <si>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</si>
  <si>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</si>
  <si>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</si>
  <si>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</si>
  <si>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</si>
  <si>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</si>
  <si>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</si>
  <si>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</si>
  <si>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</si>
  <si>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</si>
  <si>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</si>
  <si>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</si>
  <si>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</si>
  <si>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</si>
  <si>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</si>
  <si>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</si>
  <si>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</si>
  <si>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</si>
  <si>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</si>
  <si>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</si>
  <si>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</si>
  <si>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</si>
  <si>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</si>
  <si>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</si>
  <si>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</si>
  <si>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</si>
  <si>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</si>
  <si>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</si>
  <si>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</si>
  <si>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</si>
  <si>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</si>
  <si>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</si>
  <si>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</si>
  <si>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</si>
  <si>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</si>
  <si>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</si>
  <si>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</si>
  <si>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</si>
  <si>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Mission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</si>
  <si>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</si>
  <si>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</si>
  <si>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</si>
  <si>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</si>
  <si>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</si>
  <si>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</si>
  <si>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</si>
  <si>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</si>
  <si>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</si>
  <si>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</si>
  <si>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</si>
  <si>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</si>
  <si>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</si>
  <si>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</si>
  <si>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</si>
  <si>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</si>
  <si>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</si>
  <si>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</si>
  <si>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</si>
  <si>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</si>
  <si>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</si>
  <si>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</si>
  <si>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</si>
  <si>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</si>
  <si>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</si>
  <si>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</si>
  <si>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</si>
  <si>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</si>
  <si>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</si>
  <si>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Center Name</t>
  </si>
  <si>
    <t>Garden State Plaza-Basis Adj</t>
  </si>
  <si>
    <t>Garden State Plaza-Step</t>
  </si>
  <si>
    <t>Grand Total</t>
  </si>
  <si>
    <t>Potato Corner</t>
  </si>
  <si>
    <t>Business
Unit</t>
  </si>
  <si>
    <t>Remark</t>
  </si>
  <si>
    <t>Tenant Allowance Pay</t>
  </si>
  <si>
    <t>Bath &amp; Body Works</t>
  </si>
  <si>
    <t>Subsidiary</t>
  </si>
  <si>
    <t>12305</t>
  </si>
  <si>
    <t>Garage</t>
  </si>
  <si>
    <t>Ulta</t>
  </si>
  <si>
    <t>Soma Intimates</t>
  </si>
  <si>
    <t>Kalya's Body Jewelry</t>
  </si>
  <si>
    <t>Build-A-Bear</t>
  </si>
  <si>
    <t>Shiekh Shoes</t>
  </si>
  <si>
    <t>Tesla</t>
  </si>
  <si>
    <t>Haagen-Dazs</t>
  </si>
  <si>
    <t>F14</t>
  </si>
  <si>
    <t>Haidilao</t>
  </si>
  <si>
    <t>W2</t>
  </si>
  <si>
    <t>Samsonite</t>
  </si>
  <si>
    <t>Hot Topic</t>
  </si>
  <si>
    <t>Sunglass Hut</t>
  </si>
  <si>
    <t>Lego</t>
  </si>
  <si>
    <t>Sleep Number</t>
  </si>
  <si>
    <t>Windsor</t>
  </si>
  <si>
    <t>Maggiano's</t>
  </si>
  <si>
    <t>BU</t>
  </si>
  <si>
    <t>Build-A-Bear Workshop</t>
  </si>
  <si>
    <t>Pro Image Sports</t>
  </si>
  <si>
    <t>Vitamin World</t>
  </si>
  <si>
    <t>Trago Mexican Kitchen</t>
  </si>
  <si>
    <t>Seasons 52</t>
  </si>
  <si>
    <t>Tory Burch</t>
  </si>
  <si>
    <t>Windsor or Windsor Fashions</t>
  </si>
  <si>
    <t>Children's Place, The</t>
  </si>
  <si>
    <t>Culver City</t>
  </si>
  <si>
    <t>Nordstrom Rack</t>
  </si>
  <si>
    <t>Zagg</t>
  </si>
  <si>
    <t>Swarovski</t>
  </si>
  <si>
    <t>Foot Locker</t>
  </si>
  <si>
    <t>Boss Hugo Boss</t>
  </si>
  <si>
    <t>Express/Express Men</t>
  </si>
  <si>
    <t>rue21 etc!</t>
  </si>
  <si>
    <t>Boarders</t>
  </si>
  <si>
    <t>G9</t>
  </si>
  <si>
    <t>Louis Vuitton</t>
  </si>
  <si>
    <t>Aerie</t>
  </si>
  <si>
    <t>Under Armour</t>
  </si>
  <si>
    <t>G By Guess</t>
  </si>
  <si>
    <t>AT&amp;T</t>
  </si>
  <si>
    <t>R</t>
  </si>
  <si>
    <t>Janie &amp; Jack</t>
  </si>
  <si>
    <t>Red Robin</t>
  </si>
  <si>
    <t>Tilly's</t>
  </si>
  <si>
    <t>Proactiv</t>
  </si>
  <si>
    <t>Vine Vera</t>
  </si>
  <si>
    <t>G by Guess</t>
  </si>
  <si>
    <t>Pinkberry</t>
  </si>
  <si>
    <t>Metropolis Big &amp; Tall</t>
  </si>
  <si>
    <t>Hollister</t>
  </si>
  <si>
    <t>Gucci</t>
  </si>
  <si>
    <t>Tech Defense</t>
  </si>
  <si>
    <t>Active</t>
  </si>
  <si>
    <t>Benihana</t>
  </si>
  <si>
    <t>Community Clinic</t>
  </si>
  <si>
    <t>Jezic, Krum &amp; Moyse, LLC</t>
  </si>
  <si>
    <t>Right Care Pediatrics P.C.</t>
  </si>
  <si>
    <t>D8</t>
  </si>
  <si>
    <t>Pressed Juicery</t>
  </si>
  <si>
    <t>San Francisco Filipino Cultural Center</t>
  </si>
  <si>
    <t>MEZZ</t>
  </si>
  <si>
    <t>Star-West Belden Mall</t>
  </si>
  <si>
    <t>Star-West Capital Mall</t>
  </si>
  <si>
    <t>Star-West Capital Mall Land</t>
  </si>
  <si>
    <t>Star-West Franklin Park Mall</t>
  </si>
  <si>
    <t>Star-West Franklin Park Mall II</t>
  </si>
  <si>
    <t>Star-West Franklin Park Parcels</t>
  </si>
  <si>
    <t>Star-West Great Northern Mall</t>
  </si>
  <si>
    <t>Star-West Parkway Mall</t>
  </si>
  <si>
    <t>Star-West Southlake Indiana</t>
  </si>
  <si>
    <t>Star-West Plaza West Covina</t>
  </si>
  <si>
    <t>CPP</t>
  </si>
  <si>
    <t>OC</t>
  </si>
  <si>
    <t>Type</t>
  </si>
  <si>
    <t>SWII</t>
  </si>
  <si>
    <t>SWI</t>
  </si>
  <si>
    <t>CMF Culver City</t>
  </si>
  <si>
    <t>BU Name</t>
  </si>
  <si>
    <t>Sold</t>
  </si>
  <si>
    <t>PRUK</t>
  </si>
  <si>
    <t>FC</t>
  </si>
  <si>
    <t>TIAA</t>
  </si>
  <si>
    <t>Status</t>
  </si>
  <si>
    <t>C5</t>
  </si>
  <si>
    <t>A272</t>
  </si>
  <si>
    <t>Kate Spade New York</t>
  </si>
  <si>
    <t>LLW - Vans</t>
  </si>
  <si>
    <t>Starwood II Leasing Cap Accr - Sch 7.1.9 (B)</t>
  </si>
  <si>
    <t>B13</t>
  </si>
  <si>
    <t>D12</t>
  </si>
  <si>
    <t>A14</t>
  </si>
  <si>
    <t>E1</t>
  </si>
  <si>
    <t>FC14</t>
  </si>
  <si>
    <t>R1</t>
  </si>
  <si>
    <t>D3</t>
  </si>
  <si>
    <t>C19</t>
  </si>
  <si>
    <t>A78</t>
  </si>
  <si>
    <t>Balenciaga</t>
  </si>
  <si>
    <t>lululemon athletica</t>
  </si>
  <si>
    <t>Children Place</t>
  </si>
  <si>
    <t>Subtotal</t>
  </si>
  <si>
    <t>Var</t>
  </si>
  <si>
    <t xml:space="preserve">Hot Fries </t>
  </si>
  <si>
    <t>Vapors 365</t>
  </si>
  <si>
    <t>Shake Shack</t>
  </si>
  <si>
    <t>12247 - Mainplace</t>
  </si>
  <si>
    <t>12240 - Hawthorn</t>
  </si>
  <si>
    <t>12288 - Southlake</t>
  </si>
  <si>
    <t>13010 - Garden State Plaza-Basis Adj</t>
  </si>
  <si>
    <t>13011 - Garden State Plaza-Step</t>
  </si>
  <si>
    <t>12298 - Vancouver</t>
  </si>
  <si>
    <t>Livit Mobile</t>
  </si>
  <si>
    <t>12216 - Connecticut Post</t>
  </si>
  <si>
    <t>12266 - Oakridge</t>
  </si>
  <si>
    <t>12271 - Plaza Bonita</t>
  </si>
  <si>
    <t>12303</t>
  </si>
  <si>
    <t>Village at Westfield Topanga</t>
  </si>
  <si>
    <t>Grand total</t>
  </si>
  <si>
    <t>=</t>
  </si>
  <si>
    <t>F8</t>
  </si>
  <si>
    <t>Bonobos</t>
  </si>
  <si>
    <t xml:space="preserve">La Maison De Patisser </t>
  </si>
  <si>
    <t>OC2</t>
  </si>
  <si>
    <t>Wheaton North South</t>
  </si>
  <si>
    <t>Versace</t>
  </si>
  <si>
    <t>N10</t>
  </si>
  <si>
    <t>N3</t>
  </si>
  <si>
    <t>A8</t>
  </si>
  <si>
    <t>E3</t>
  </si>
  <si>
    <t>H6</t>
  </si>
  <si>
    <t>E20</t>
  </si>
  <si>
    <t>FC12</t>
  </si>
  <si>
    <t>R4</t>
  </si>
  <si>
    <t>F3A</t>
  </si>
  <si>
    <t>Accounting Region</t>
  </si>
  <si>
    <t>Object
Account</t>
  </si>
  <si>
    <t>Batch
Number</t>
  </si>
  <si>
    <t>Batch
Type</t>
  </si>
  <si>
    <t>Document
Number</t>
  </si>
  <si>
    <t>Document
Type</t>
  </si>
  <si>
    <t>Period
Number</t>
  </si>
  <si>
    <t>Year
(Short)</t>
  </si>
  <si>
    <t>Actual
Amount</t>
  </si>
  <si>
    <t>Batch
Date</t>
  </si>
  <si>
    <t>JE
Explanation</t>
  </si>
  <si>
    <t>Reference
1</t>
  </si>
  <si>
    <t>Reference
2</t>
  </si>
  <si>
    <t>Reference
3</t>
  </si>
  <si>
    <t>Subledger</t>
  </si>
  <si>
    <t>Tenant / Vendor Name</t>
  </si>
  <si>
    <t>Description</t>
  </si>
  <si>
    <t>Post Status</t>
  </si>
  <si>
    <t>Trans.
Originator</t>
  </si>
  <si>
    <t>User
ID</t>
  </si>
  <si>
    <t>Account
Number</t>
  </si>
  <si>
    <t>Asset
Number</t>
  </si>
  <si>
    <t>V</t>
  </si>
  <si>
    <t>PV</t>
  </si>
  <si>
    <t>Posted</t>
  </si>
  <si>
    <t>NEXUS</t>
  </si>
  <si>
    <t>JE</t>
  </si>
  <si>
    <t>10-02</t>
  </si>
  <si>
    <t>AR Offset</t>
  </si>
  <si>
    <t>2B</t>
  </si>
  <si>
    <t>RD</t>
  </si>
  <si>
    <t>TAP AR Offset</t>
  </si>
  <si>
    <t>SCHED</t>
  </si>
  <si>
    <t>12280.200330</t>
  </si>
  <si>
    <t>12294.200330</t>
  </si>
  <si>
    <t>12292.200330</t>
  </si>
  <si>
    <t>12234.200330</t>
  </si>
  <si>
    <t>12297.200330</t>
  </si>
  <si>
    <t>12263.200330</t>
  </si>
  <si>
    <t>12293.200330</t>
  </si>
  <si>
    <t>12206.200330</t>
  </si>
  <si>
    <t>12255.200330</t>
  </si>
  <si>
    <t>12305.200330</t>
  </si>
  <si>
    <t>12204.200330</t>
  </si>
  <si>
    <t>12327.200330</t>
  </si>
  <si>
    <t>Bath &amp; Body Works, LLC</t>
  </si>
  <si>
    <t>Chick-Fil-A</t>
  </si>
  <si>
    <t>RP Mercal, Inc</t>
  </si>
  <si>
    <t>iSushi</t>
  </si>
  <si>
    <t>Popeyes</t>
  </si>
  <si>
    <t>Tillys</t>
  </si>
  <si>
    <t>Jollibee</t>
  </si>
  <si>
    <t>See's Candies, Inc.</t>
  </si>
  <si>
    <t>Lovesac</t>
  </si>
  <si>
    <t>Levi's</t>
  </si>
  <si>
    <t>Godiva</t>
  </si>
  <si>
    <t>Aritzia</t>
  </si>
  <si>
    <t>Ivy Day Spa, The</t>
  </si>
  <si>
    <t>ANGL</t>
  </si>
  <si>
    <t>Game Time</t>
  </si>
  <si>
    <t>Trollbeads</t>
  </si>
  <si>
    <t>Tourneau</t>
  </si>
  <si>
    <t>Kate Spade</t>
  </si>
  <si>
    <t>Ferragamo</t>
  </si>
  <si>
    <t>Verizon</t>
  </si>
  <si>
    <t>American Eagle</t>
  </si>
  <si>
    <t>Bath &amp; Body Work</t>
  </si>
  <si>
    <t>Claire's Boutiques, Inc.</t>
  </si>
  <si>
    <t>Boba Smoothies</t>
  </si>
  <si>
    <t>Dave &amp; Busters</t>
  </si>
  <si>
    <t>Color Me Mine</t>
  </si>
  <si>
    <t>Good Feet Store, The</t>
  </si>
  <si>
    <t>Soothing Massage</t>
  </si>
  <si>
    <t>Oak West</t>
  </si>
  <si>
    <t>Dyson</t>
  </si>
  <si>
    <t>Chicago Dental Arts</t>
  </si>
  <si>
    <t>Steve's Hallmark</t>
  </si>
  <si>
    <t>Philosophy</t>
  </si>
  <si>
    <t>Retro Fitness</t>
  </si>
  <si>
    <t>Peloton</t>
  </si>
  <si>
    <t>Invite Health</t>
  </si>
  <si>
    <t>Eye to Eye</t>
  </si>
  <si>
    <t>Great American Cookies</t>
  </si>
  <si>
    <t>Prinkipia Tea</t>
  </si>
  <si>
    <t>Elite Jewelers</t>
  </si>
  <si>
    <t>Haagen-Daz</t>
  </si>
  <si>
    <t>Tourneau, LLC</t>
  </si>
  <si>
    <t>Bibigo</t>
  </si>
  <si>
    <t>Zenscape</t>
  </si>
  <si>
    <t>Cheesecake</t>
  </si>
  <si>
    <t>C.J. Watch &amp; Jewelry</t>
  </si>
  <si>
    <t>Warby Parker</t>
  </si>
  <si>
    <t>Bitter Root Pottery</t>
  </si>
  <si>
    <t>Fabletics</t>
  </si>
  <si>
    <t>EZ Relaxation</t>
  </si>
  <si>
    <t>J4</t>
  </si>
  <si>
    <t>R5</t>
  </si>
  <si>
    <t>Athlete's Foot</t>
  </si>
  <si>
    <t>G12</t>
  </si>
  <si>
    <t>39B</t>
  </si>
  <si>
    <t>E2</t>
  </si>
  <si>
    <t>F5</t>
  </si>
  <si>
    <t>A1</t>
  </si>
  <si>
    <t>B10</t>
  </si>
  <si>
    <t>H8</t>
  </si>
  <si>
    <t>G1</t>
  </si>
  <si>
    <t>D1</t>
  </si>
  <si>
    <t>J5</t>
  </si>
  <si>
    <t>C17</t>
  </si>
  <si>
    <t>B4</t>
  </si>
  <si>
    <t>V422</t>
  </si>
  <si>
    <t>C7A</t>
  </si>
  <si>
    <t>A12</t>
  </si>
  <si>
    <t>F12</t>
  </si>
  <si>
    <t>F9</t>
  </si>
  <si>
    <t>F10</t>
  </si>
  <si>
    <t>D15</t>
  </si>
  <si>
    <t>C12</t>
  </si>
  <si>
    <t>B311</t>
  </si>
  <si>
    <t>A84</t>
  </si>
  <si>
    <t>A52</t>
  </si>
  <si>
    <t>A130</t>
  </si>
  <si>
    <t>FC21</t>
  </si>
  <si>
    <t>P206</t>
  </si>
  <si>
    <t>Count</t>
  </si>
  <si>
    <t>RMLA Shapes Brow</t>
  </si>
  <si>
    <t>Auntie Anne's/Cinnabon</t>
  </si>
  <si>
    <t>B8</t>
  </si>
  <si>
    <t>B16</t>
  </si>
  <si>
    <t>S6</t>
  </si>
  <si>
    <t>K1</t>
  </si>
  <si>
    <t>D13</t>
  </si>
  <si>
    <t>A20</t>
  </si>
  <si>
    <t>T13</t>
  </si>
  <si>
    <t>A151</t>
  </si>
  <si>
    <t>B271</t>
  </si>
  <si>
    <t>Z-20</t>
  </si>
  <si>
    <t>U5</t>
  </si>
  <si>
    <t>D109</t>
  </si>
  <si>
    <t>D123</t>
  </si>
  <si>
    <t>V417</t>
  </si>
  <si>
    <t>B126</t>
  </si>
  <si>
    <t>V419</t>
  </si>
  <si>
    <t>C2A</t>
  </si>
  <si>
    <t>T38</t>
  </si>
  <si>
    <t>T2</t>
  </si>
  <si>
    <t>W1</t>
  </si>
  <si>
    <t>1084D</t>
  </si>
  <si>
    <t>63A</t>
  </si>
  <si>
    <t>A331</t>
  </si>
  <si>
    <t>A375</t>
  </si>
  <si>
    <t>A39</t>
  </si>
  <si>
    <t>A323</t>
  </si>
  <si>
    <t>B561</t>
  </si>
  <si>
    <t>P203B</t>
  </si>
  <si>
    <t>B208B</t>
  </si>
  <si>
    <t>L10</t>
  </si>
  <si>
    <t>P214</t>
  </si>
  <si>
    <t>G10D</t>
  </si>
  <si>
    <t>LL4310</t>
  </si>
  <si>
    <t>LL5104</t>
  </si>
  <si>
    <t>LL2465</t>
  </si>
  <si>
    <t>L6</t>
  </si>
  <si>
    <t>12269.200330</t>
  </si>
  <si>
    <t>12229.200330</t>
  </si>
  <si>
    <t>10/31/2015</t>
  </si>
  <si>
    <t>12235.200330</t>
  </si>
  <si>
    <t>12271.200330</t>
  </si>
  <si>
    <t>12291.200330</t>
  </si>
  <si>
    <t>10/29/2015</t>
  </si>
  <si>
    <t>Panini Café</t>
  </si>
  <si>
    <t>City Wok</t>
  </si>
  <si>
    <t>Service Date</t>
  </si>
  <si>
    <t>Settlement Batch #</t>
  </si>
  <si>
    <t>I/C Status</t>
  </si>
  <si>
    <t>Reverse or Void</t>
  </si>
  <si>
    <t>200330</t>
  </si>
  <si>
    <t>Z</t>
  </si>
  <si>
    <t>AD</t>
  </si>
  <si>
    <t>12211.200330</t>
  </si>
  <si>
    <t>AR offset</t>
  </si>
  <si>
    <t>11/18/2015</t>
  </si>
  <si>
    <t>12303.200330</t>
  </si>
  <si>
    <t>12267.200330</t>
  </si>
  <si>
    <t>12268</t>
  </si>
  <si>
    <t>12268.200330</t>
  </si>
  <si>
    <t>12266.200330</t>
  </si>
  <si>
    <t>12286.200330</t>
  </si>
  <si>
    <t>12/31/2015</t>
  </si>
  <si>
    <t>12317 - CMF MP S Macy's</t>
  </si>
  <si>
    <t>Sprint Store</t>
  </si>
  <si>
    <t xml:space="preserve">New York &amp; Co </t>
  </si>
  <si>
    <t>Ashley Furniture</t>
  </si>
  <si>
    <t>Oxford Jewel</t>
  </si>
  <si>
    <t>Big Reds</t>
  </si>
  <si>
    <t>LLW-Trago Mexican</t>
  </si>
  <si>
    <t>1/22/2016</t>
  </si>
  <si>
    <t>12294 - Valencia</t>
  </si>
  <si>
    <t>12232 - Fox Valley</t>
  </si>
  <si>
    <t>12286 - Southcenter</t>
  </si>
  <si>
    <t>Invoice Number</t>
  </si>
  <si>
    <t>Womens Medical Gr</t>
  </si>
  <si>
    <t>SOLD CENTER</t>
  </si>
  <si>
    <t>12293 - UTC</t>
  </si>
  <si>
    <t>life of the lease</t>
  </si>
  <si>
    <t>NYX Professional</t>
  </si>
  <si>
    <t>Life of lease</t>
  </si>
  <si>
    <t>e.l.f.</t>
  </si>
  <si>
    <t>Blum/Cent add capex accruals</t>
  </si>
  <si>
    <t xml:space="preserve"> EBLENS</t>
  </si>
  <si>
    <t>westfield</t>
  </si>
  <si>
    <t>10-01</t>
  </si>
  <si>
    <t>Oak &amp; Fort</t>
  </si>
  <si>
    <t>917564</t>
  </si>
  <si>
    <t>917283</t>
  </si>
  <si>
    <t>Rodizio Grill</t>
  </si>
  <si>
    <t>Urban Decay</t>
  </si>
  <si>
    <t>life of lease</t>
  </si>
  <si>
    <t>Old Orchard Periodontic</t>
  </si>
  <si>
    <t>88102</t>
  </si>
  <si>
    <t>318/310</t>
  </si>
  <si>
    <t>L'Core Paris</t>
  </si>
  <si>
    <t>Not open yet, 1 year after RCD</t>
  </si>
  <si>
    <t>12248 - Meriden</t>
  </si>
  <si>
    <t>Life of the lease</t>
  </si>
  <si>
    <t>12277 - San Francisco Emporium</t>
  </si>
  <si>
    <t>65452</t>
  </si>
  <si>
    <t>SOLD CENTER, no booking to match payout</t>
  </si>
  <si>
    <t>Biryani's by Spice Affair</t>
  </si>
  <si>
    <t>918488</t>
  </si>
  <si>
    <t>KOJA Kitchen</t>
  </si>
  <si>
    <t>919027</t>
  </si>
  <si>
    <t>FE10</t>
  </si>
  <si>
    <t>Spacetel</t>
  </si>
  <si>
    <t>919773</t>
  </si>
  <si>
    <t>12285 - South Shore</t>
  </si>
  <si>
    <t>919176</t>
  </si>
  <si>
    <t>The Fix</t>
  </si>
  <si>
    <t>Morphe</t>
  </si>
  <si>
    <t>2 years from "Option Remodel Date 12/31/17" in Amd2</t>
  </si>
  <si>
    <t>1 year after RCD</t>
  </si>
  <si>
    <t>not open yet, life of the lease</t>
  </si>
  <si>
    <t>Mainplace TRS - Centennial eff 12/18/15</t>
  </si>
  <si>
    <t>2 years after RCD</t>
  </si>
  <si>
    <t>Life of the lease, Amd1, Sec-A8</t>
  </si>
  <si>
    <t>Life of the Lease, Amd 1 - Sec A1</t>
  </si>
  <si>
    <t>Life of the Lease, Amd 6-Sec-A3. Per TC, tenant requested but is not willing to perform the work required to complete the checklist. Dispose?</t>
  </si>
  <si>
    <t>Lady M Cakes Boutique</t>
  </si>
  <si>
    <t>E21</t>
  </si>
  <si>
    <t>Amd3 extended lease to 1/31/20, no mention of HVAC reimbursement in Amd3. Leasing confirmed tenant can request this til the expiration of Amd 3.</t>
  </si>
  <si>
    <t>Miniso</t>
  </si>
  <si>
    <t>not open yet, 1 year after RCD</t>
  </si>
  <si>
    <t>C32</t>
  </si>
  <si>
    <t>"Air Handler Unit" reimbursement, life of lease</t>
  </si>
  <si>
    <t>Not open yet, 1 year from RCD</t>
  </si>
  <si>
    <t>12230</t>
  </si>
  <si>
    <t>12230.200330</t>
  </si>
  <si>
    <t>12285</t>
  </si>
  <si>
    <t>12285.200330</t>
  </si>
  <si>
    <t>12279</t>
  </si>
  <si>
    <t>12279.200330</t>
  </si>
  <si>
    <t>12253</t>
  </si>
  <si>
    <t>12253.200330</t>
  </si>
  <si>
    <t>12217</t>
  </si>
  <si>
    <t>12217.200330</t>
  </si>
  <si>
    <t>12307</t>
  </si>
  <si>
    <t>12307.200330</t>
  </si>
  <si>
    <t>Not open yet, Life of the lease</t>
  </si>
  <si>
    <t>MMA</t>
  </si>
  <si>
    <t>Riley Rose</t>
  </si>
  <si>
    <t>Blum/Cent Accrual Partial Payment</t>
  </si>
  <si>
    <t>Blum/Cent SOLD CENTER</t>
  </si>
  <si>
    <t xml:space="preserve">Blum/Cent SOLD CENTER. Working with TC to get reimbursement back from tenant. TA overpayment by TC. </t>
  </si>
  <si>
    <t>To be clear with the final Blum/Centennial transaction to gain/loss. SOLD CENTER</t>
  </si>
  <si>
    <t>life of the lease. Possible tenant is already opened, found manual open notice in sharepoint but move-in date is missing in E1, emailed LAB for clarification</t>
  </si>
  <si>
    <t>Village at Topanga</t>
  </si>
  <si>
    <t>Closet Trading Company</t>
  </si>
  <si>
    <t>12277</t>
  </si>
  <si>
    <t>12277.200330</t>
  </si>
  <si>
    <t>Modern Masters</t>
  </si>
  <si>
    <t>TT already applied for partial payment. Per center, pending settlement agreement involving multiple parties, including Dev &amp; JV Partners. TT was working w SF Mayor's office to secure payment in full when mayor passed away. 6/5/18 BC, emailed center for update</t>
  </si>
  <si>
    <t>G-Star Raw</t>
  </si>
  <si>
    <t>Paris Jewelers</t>
  </si>
  <si>
    <t>not open yet, no expiration</t>
  </si>
  <si>
    <t>Stewart's All-American</t>
  </si>
  <si>
    <t>Kids Atelier</t>
  </si>
  <si>
    <t>3 years after RCD</t>
  </si>
  <si>
    <t>00193722</t>
  </si>
  <si>
    <t>Brandon Mall Pharmacy</t>
  </si>
  <si>
    <t>Cantina Laredo</t>
  </si>
  <si>
    <t>Total remaining liability should be $7,500, emailed AP/AR regarding the AR Offset billing of $2,500. Once resolved, we can reverse the total $7,500. 4/25/18, BC - emailed follow up to AP/AR. 8/28/18 MEB: no update, technially tenant requested in time, but outstanding issues is preventing us to payout</t>
  </si>
  <si>
    <t>1 year after rcd</t>
  </si>
  <si>
    <t>Salon Republic</t>
  </si>
  <si>
    <t>Street Churros</t>
  </si>
  <si>
    <t>Meet Fresh</t>
  </si>
  <si>
    <t>JUSANCHEZ2</t>
  </si>
  <si>
    <t>12303 - Village at Westfield Topanga</t>
  </si>
  <si>
    <t>1 year after RCD (expected 6/1/18)</t>
  </si>
  <si>
    <r>
      <rPr>
        <sz val="10"/>
        <color rgb="FF0070C0"/>
        <rFont val="Arial"/>
        <family val="2"/>
      </rPr>
      <t xml:space="preserve">DISPOSE - Tenant did not request. </t>
    </r>
    <r>
      <rPr>
        <sz val="10"/>
        <rFont val="Arial"/>
        <family val="2"/>
      </rPr>
      <t>1 year after RCD</t>
    </r>
  </si>
  <si>
    <r>
      <rPr>
        <sz val="10"/>
        <color rgb="FF0070C0"/>
        <rFont val="Arial"/>
        <family val="2"/>
      </rPr>
      <t>DO NOT DISPOSE- Tenant submitted on 6/13/18. TT still need to provide required docs.</t>
    </r>
    <r>
      <rPr>
        <sz val="10"/>
        <rFont val="Arial"/>
        <family val="2"/>
      </rPr>
      <t>1 year after RCD. 8/27/18- TT inquired on TA 6/13/18- advised TA expires 8/31/18 -Sent reminder email TA set to expire 8/27/18 JG</t>
    </r>
  </si>
  <si>
    <r>
      <rPr>
        <sz val="10"/>
        <color rgb="FF0070C0"/>
        <rFont val="Arial"/>
        <family val="2"/>
      </rPr>
      <t>DISPOSE- Tenant has not submitted their request yet.</t>
    </r>
    <r>
      <rPr>
        <sz val="10"/>
        <rFont val="Arial"/>
        <family val="2"/>
      </rPr>
      <t xml:space="preserve"> 2 years after RCD</t>
    </r>
  </si>
  <si>
    <r>
      <rPr>
        <sz val="10"/>
        <color rgb="FF0070C0"/>
        <rFont val="Arial"/>
        <family val="2"/>
      </rPr>
      <t>DISPOSE - Tenant did not request</t>
    </r>
    <r>
      <rPr>
        <sz val="10"/>
        <rFont val="Arial"/>
        <family val="2"/>
      </rPr>
      <t>. 1 year after RCD. 8/28/18 MEB: TT has not requested</t>
    </r>
  </si>
  <si>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</si>
  <si>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</si>
  <si>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r>
      <rPr>
        <sz val="10"/>
        <color rgb="FF0070C0"/>
        <rFont val="Arial"/>
        <family val="2"/>
      </rPr>
      <t>DISPOSE- Tenant haven't request for it yet.</t>
    </r>
    <r>
      <rPr>
        <sz val="10"/>
        <rFont val="Arial"/>
        <family val="2"/>
      </rPr>
      <t xml:space="preserve"> 1 year after RCD</t>
    </r>
  </si>
  <si>
    <r>
      <rPr>
        <sz val="10"/>
        <color rgb="FF0070C0"/>
        <rFont val="Arial"/>
        <family val="2"/>
      </rPr>
      <t>DISPOSE- Tenant did not request for their Final TA. No Amendment was done to extend expiration.</t>
    </r>
    <r>
      <rPr>
        <sz val="10"/>
        <rFont val="Arial"/>
        <family val="2"/>
      </rPr>
      <t xml:space="preserve"> 1 yr from RCD date, tenant opened 6/2/18, amd?. 8/28/18 MEB: Amendment is pending to extend to make TT eligible. Please don’t delete</t>
    </r>
  </si>
  <si>
    <r>
      <rPr>
        <sz val="10"/>
        <color rgb="FF0070C0"/>
        <rFont val="Arial"/>
        <family val="2"/>
      </rPr>
      <t>DISPOSE- Tenant did not request for their Final TA.</t>
    </r>
    <r>
      <rPr>
        <sz val="10"/>
        <rFont val="Arial"/>
        <family val="2"/>
      </rPr>
      <t xml:space="preserve"> 1 year after RCD</t>
    </r>
  </si>
  <si>
    <r>
      <rPr>
        <sz val="10"/>
        <color rgb="FF0070C0"/>
        <rFont val="Arial"/>
        <family val="2"/>
      </rPr>
      <t xml:space="preserve">DO NOT DISPOSE- Tenant requested on 5/5/17. Tenant is silent and  have not provided their required documents. </t>
    </r>
    <r>
      <rPr>
        <sz val="10"/>
        <rFont val="Arial"/>
        <family val="2"/>
      </rPr>
      <t>Per TC, processing, pending additional docs from TT. 4/26/18- TT has gone silent, we are waiting on add'l documents -JG. Followed up with Tenant, no response. JG 5.23.18. TT requested the TA in a timely manner, they are still alouted the TA -JG 6/5/18. 7/09/18- TT silent JG. 8/27/18- sent another email to TT w/list of required documents needed JG</t>
    </r>
  </si>
  <si>
    <t>B270</t>
  </si>
  <si>
    <t>12305 - Wheaton</t>
  </si>
  <si>
    <t>due 30 days after "Refurbishment Work" completion by 10/31/20</t>
  </si>
  <si>
    <t>Wushiland</t>
  </si>
  <si>
    <t>7-Eleven</t>
  </si>
  <si>
    <t>Spectrum</t>
  </si>
  <si>
    <t>Ardene</t>
  </si>
  <si>
    <t>Warby Parker Retail, Inc.</t>
  </si>
  <si>
    <t>00197302</t>
  </si>
  <si>
    <t xml:space="preserve">Masaki Matsuka </t>
  </si>
  <si>
    <t>00197362</t>
  </si>
  <si>
    <t>00197394</t>
  </si>
  <si>
    <t>00197703</t>
  </si>
  <si>
    <t>Sandbox</t>
  </si>
  <si>
    <t>Note open yet, 1 year after RCD</t>
  </si>
  <si>
    <t>00198017</t>
  </si>
  <si>
    <t>L.00926577</t>
  </si>
  <si>
    <t>00197706</t>
  </si>
  <si>
    <t>Unposted</t>
  </si>
  <si>
    <t>TA_G by Guess_U# 1717</t>
  </si>
  <si>
    <t>00197707</t>
  </si>
  <si>
    <t>12263 - North County</t>
  </si>
  <si>
    <t>House of Bounce</t>
  </si>
  <si>
    <t>Daphne's California Greek</t>
  </si>
  <si>
    <t>Grain &amp; Berry</t>
  </si>
  <si>
    <t>Euro Beauty Salon</t>
  </si>
  <si>
    <t>TA_Forever 21_167</t>
  </si>
  <si>
    <t>L.00925411</t>
  </si>
  <si>
    <t>00198200</t>
  </si>
  <si>
    <t>107 Taste</t>
  </si>
  <si>
    <t>Takumi</t>
  </si>
  <si>
    <t>12253 - Mission Valley</t>
  </si>
  <si>
    <t>Gerry's Grill</t>
  </si>
  <si>
    <t>Blum/Cent - Life of the Lease</t>
  </si>
  <si>
    <t>U.1301</t>
  </si>
  <si>
    <t>Old Navy, LLC</t>
  </si>
  <si>
    <t>TA-OldNavy-FAS-Final</t>
  </si>
  <si>
    <t>00211730</t>
  </si>
  <si>
    <t>L.00927913</t>
  </si>
  <si>
    <t>00211119</t>
  </si>
  <si>
    <t>innisfree</t>
  </si>
  <si>
    <t>Hook &amp; Reel</t>
  </si>
  <si>
    <t>Somnis Sleep System</t>
  </si>
  <si>
    <t>Moge Tee</t>
  </si>
  <si>
    <t>Party Gifts and Toys</t>
  </si>
  <si>
    <t>Salon Republic, LLC</t>
  </si>
  <si>
    <t>97B</t>
  </si>
  <si>
    <t>1 year after the required date for the completion of tenant's work</t>
  </si>
  <si>
    <t>00212160</t>
  </si>
  <si>
    <t>Athleta LLC</t>
  </si>
  <si>
    <t>12337</t>
  </si>
  <si>
    <t>12337.200330</t>
  </si>
  <si>
    <t>12307 - Wheaton South Office</t>
  </si>
  <si>
    <t>00212691</t>
  </si>
  <si>
    <t>00212492</t>
  </si>
  <si>
    <t>Rodizio Grill - The Brazilian</t>
  </si>
  <si>
    <t>Sonny Ventures LLC</t>
  </si>
  <si>
    <t>U.1612</t>
  </si>
  <si>
    <t>12279 - San Francisco Shopping Centre</t>
  </si>
  <si>
    <t>Not yet open, 1 year after RCD</t>
  </si>
  <si>
    <t>00213078</t>
  </si>
  <si>
    <t>00213080</t>
  </si>
  <si>
    <t>Lululemon USA Inc.</t>
  </si>
  <si>
    <t>Lush Cosmetics LLC</t>
  </si>
  <si>
    <t>00214677</t>
  </si>
  <si>
    <t>00214667</t>
  </si>
  <si>
    <t>00214668</t>
  </si>
  <si>
    <t>00214678</t>
  </si>
  <si>
    <t>00214674</t>
  </si>
  <si>
    <t>00214675</t>
  </si>
  <si>
    <t>Homegrown</t>
  </si>
  <si>
    <t>18 months from RCD</t>
  </si>
  <si>
    <t>Bake Cheese</t>
  </si>
  <si>
    <t>3 year after RCD</t>
  </si>
  <si>
    <t>Sunmerry</t>
  </si>
  <si>
    <t>Casper</t>
  </si>
  <si>
    <t>Slaters 50/50</t>
  </si>
  <si>
    <t>Tournea</t>
  </si>
  <si>
    <t>Poke Papa</t>
  </si>
  <si>
    <t>00214710</t>
  </si>
  <si>
    <t>00214709</t>
  </si>
  <si>
    <t xml:space="preserve">C3 </t>
  </si>
  <si>
    <t>00214739</t>
  </si>
  <si>
    <t>00214850</t>
  </si>
  <si>
    <t>00214852</t>
  </si>
  <si>
    <t>Pickles &amp; Swiss</t>
  </si>
  <si>
    <t>L.00928994</t>
  </si>
  <si>
    <t>00214030</t>
  </si>
  <si>
    <t>U.1030</t>
  </si>
  <si>
    <t>TA_J. Crew_U# 2161</t>
  </si>
  <si>
    <t>Build-A-Bear Workshop, Inc.</t>
  </si>
  <si>
    <t>00186255</t>
  </si>
  <si>
    <t>TA_Sandbox VR_U# 116</t>
  </si>
  <si>
    <t>L.00927529</t>
  </si>
  <si>
    <t>00214831</t>
  </si>
  <si>
    <t>American Eagle Outfitters and/</t>
  </si>
  <si>
    <t>00214849</t>
  </si>
  <si>
    <t>KIS Fitness, Inc.</t>
  </si>
  <si>
    <t>Planet Grilled Cheese</t>
  </si>
  <si>
    <t>Windsor Fashions, LLC</t>
  </si>
  <si>
    <t>12306</t>
  </si>
  <si>
    <t>12306.200330</t>
  </si>
  <si>
    <t>Cleaning Nerd</t>
  </si>
  <si>
    <t>One Medical</t>
  </si>
  <si>
    <t>HRB</t>
  </si>
  <si>
    <t>De Masque</t>
  </si>
  <si>
    <t>A47</t>
  </si>
  <si>
    <t>Best Buzz</t>
  </si>
  <si>
    <t>Not open yet, 18 months from RCD</t>
  </si>
  <si>
    <t>Meron Hair Studio</t>
  </si>
  <si>
    <t>00215004</t>
  </si>
  <si>
    <t>K-Mobile</t>
  </si>
  <si>
    <t>12315 - CMF Santa Anita RM</t>
  </si>
  <si>
    <t>00215076</t>
  </si>
  <si>
    <t>00215005</t>
  </si>
  <si>
    <t>00215400</t>
  </si>
  <si>
    <t>00215398</t>
  </si>
  <si>
    <t>TA_Boss Hugo_U# 181</t>
  </si>
  <si>
    <t>00215406</t>
  </si>
  <si>
    <t>00215079</t>
  </si>
  <si>
    <t>TA_Wurstnox_U#FC3</t>
  </si>
  <si>
    <t>L.00927733</t>
  </si>
  <si>
    <t>00211125</t>
  </si>
  <si>
    <t>00215429</t>
  </si>
  <si>
    <t>00215431</t>
  </si>
  <si>
    <t>00215087</t>
  </si>
  <si>
    <t>Nunu &amp; Mi Magic</t>
  </si>
  <si>
    <t>Jerk Shack</t>
  </si>
  <si>
    <t>Athena Greek</t>
  </si>
  <si>
    <t>Amazon Go</t>
  </si>
  <si>
    <t>Not open, 18 months after RCD</t>
  </si>
  <si>
    <t>Boss Hugo</t>
  </si>
  <si>
    <t>Safari</t>
  </si>
  <si>
    <t>Magic Brow</t>
  </si>
  <si>
    <t>Wurstnox</t>
  </si>
  <si>
    <t>White House</t>
  </si>
  <si>
    <t>Godiva Café</t>
  </si>
  <si>
    <t>Latt Liv</t>
  </si>
  <si>
    <t>00215628</t>
  </si>
  <si>
    <t>Bonobos, Inc.</t>
  </si>
  <si>
    <t>12330</t>
  </si>
  <si>
    <t>Knotel TA</t>
  </si>
  <si>
    <t>12330.200330</t>
  </si>
  <si>
    <t>00215566</t>
  </si>
  <si>
    <t>Select Comfort Retail Corporation</t>
  </si>
  <si>
    <t>K&amp;I Cuts</t>
  </si>
  <si>
    <t>00215877</t>
  </si>
  <si>
    <t>Bras N Things</t>
  </si>
  <si>
    <t>816818 Mission</t>
  </si>
  <si>
    <t>Knotel - 818Mission</t>
  </si>
  <si>
    <t>200/300/400/500</t>
  </si>
  <si>
    <t>Crepes and Waffles</t>
  </si>
  <si>
    <t>Right Care Pediatrics</t>
  </si>
  <si>
    <t>Not Open</t>
  </si>
  <si>
    <t>Oak + Fort</t>
  </si>
  <si>
    <t>Buck Mason</t>
  </si>
  <si>
    <t>00216334</t>
  </si>
  <si>
    <t>L.00929915</t>
  </si>
  <si>
    <t>00216234</t>
  </si>
  <si>
    <t>TA_Le Macaron_U# 9022</t>
  </si>
  <si>
    <t>Original TA Amount</t>
  </si>
  <si>
    <t>AR offset debit missing. Full amount of TA has been paid</t>
  </si>
  <si>
    <t>12254</t>
  </si>
  <si>
    <t>Disposed - TA Forfeit</t>
  </si>
  <si>
    <t>12295</t>
  </si>
  <si>
    <t>12296</t>
  </si>
  <si>
    <t>TA - ANGL U# 21</t>
  </si>
  <si>
    <t>TA - Philosophy U#2120</t>
  </si>
  <si>
    <t>TA_EZ Relaxation_U#9015</t>
  </si>
  <si>
    <t>Dev TA_Tesla_U#1340</t>
  </si>
  <si>
    <t>TA_Invite Health_U#940</t>
  </si>
  <si>
    <t>TA_Morphe_U#G9</t>
  </si>
  <si>
    <t>TA_7-Eleven_U#2098</t>
  </si>
  <si>
    <t>TA_Grain &amp; Berry_U# 9050</t>
  </si>
  <si>
    <t>Smart Mobile</t>
  </si>
  <si>
    <t>APM Monaco</t>
  </si>
  <si>
    <t>Amazon 4-Star</t>
  </si>
  <si>
    <t xml:space="preserve">AT&amp;T </t>
  </si>
  <si>
    <t>Not open, Life of the lease</t>
  </si>
  <si>
    <t>Sip Fresh</t>
  </si>
  <si>
    <t>Aussie Grill</t>
  </si>
  <si>
    <t>Code Ninja</t>
  </si>
  <si>
    <t>BASWAREUS</t>
  </si>
  <si>
    <t>TA_Knotel U#200/300/400/500</t>
  </si>
  <si>
    <t>Suite 410 TA NOB 2020</t>
  </si>
  <si>
    <t>Noizz</t>
  </si>
  <si>
    <t>Elite Cosmetology</t>
  </si>
  <si>
    <t>Stoney River</t>
  </si>
  <si>
    <t>VCORNEJO</t>
  </si>
  <si>
    <t>LIG ENT. INC.</t>
  </si>
  <si>
    <t>Sola Salon Studios</t>
  </si>
  <si>
    <t>Not Open, 1 year after RCD</t>
  </si>
  <si>
    <t>00218653</t>
  </si>
  <si>
    <t>00219128</t>
  </si>
  <si>
    <t>00218649</t>
  </si>
  <si>
    <t>00219103</t>
  </si>
  <si>
    <t>Kidz Rezort</t>
  </si>
  <si>
    <t>08-02</t>
  </si>
  <si>
    <t>TLESTARI</t>
  </si>
  <si>
    <t>STLEE</t>
  </si>
  <si>
    <t>Rolex Boutique</t>
  </si>
  <si>
    <t>Not yet open, life of the lease</t>
  </si>
  <si>
    <t>Valliani</t>
  </si>
  <si>
    <t>Dulce</t>
  </si>
  <si>
    <t>Purple</t>
  </si>
  <si>
    <t>Dr. Holbert Opt</t>
  </si>
  <si>
    <t>Umai</t>
  </si>
  <si>
    <t>Earthbound Trading</t>
  </si>
  <si>
    <t>00219750</t>
  </si>
  <si>
    <t>Amazon Star 4 Stars</t>
  </si>
  <si>
    <t>00219737</t>
  </si>
  <si>
    <t>Shell Shack</t>
  </si>
  <si>
    <t>00218655</t>
  </si>
  <si>
    <t>Bombay Frankie Company, The</t>
  </si>
  <si>
    <t>Bombay Frankie Company LLC, The</t>
  </si>
  <si>
    <t>00219738</t>
  </si>
  <si>
    <t>00219739</t>
  </si>
  <si>
    <t>Tesla Inc.</t>
  </si>
  <si>
    <t>MCHEN</t>
  </si>
  <si>
    <t>00219749</t>
  </si>
  <si>
    <t>Amazon 4 Star</t>
  </si>
  <si>
    <t>Bombay Frankie</t>
  </si>
  <si>
    <t>00219855</t>
  </si>
  <si>
    <t>Ardene USA Inc.</t>
  </si>
  <si>
    <t>Life of the lease. Reclass to be booked this quarter</t>
  </si>
  <si>
    <t>paid in Nov 2020</t>
  </si>
  <si>
    <t>CRYU</t>
  </si>
  <si>
    <t>VSALAZAR</t>
  </si>
  <si>
    <t>Arena Stem</t>
  </si>
  <si>
    <t>Regal Jewelers</t>
  </si>
  <si>
    <t>Innisfree</t>
  </si>
  <si>
    <t>MLIPSCHITZ</t>
  </si>
  <si>
    <t>880957 - Mark Keen</t>
  </si>
  <si>
    <t xml:space="preserve"> Salon Republic, LLC</t>
  </si>
  <si>
    <t>SLIN</t>
  </si>
  <si>
    <t>AMIRANDA</t>
  </si>
  <si>
    <t>00220331</t>
  </si>
  <si>
    <t>00220335</t>
  </si>
  <si>
    <t>00220319</t>
  </si>
  <si>
    <t>08-01</t>
  </si>
  <si>
    <t>ALI</t>
  </si>
  <si>
    <t>L.00932025</t>
  </si>
  <si>
    <t>00220273</t>
  </si>
  <si>
    <t>00220247</t>
  </si>
  <si>
    <t>SWU</t>
  </si>
  <si>
    <t>RREN</t>
  </si>
  <si>
    <t>00220318</t>
  </si>
  <si>
    <t>00220320</t>
  </si>
  <si>
    <t>Rebag</t>
  </si>
  <si>
    <t>00220143</t>
  </si>
  <si>
    <t>BMOU</t>
  </si>
  <si>
    <t>JISON2</t>
  </si>
  <si>
    <t>JYAN</t>
  </si>
  <si>
    <t>00220321</t>
  </si>
  <si>
    <t>12235 - Garden State Plaza</t>
  </si>
  <si>
    <t>12230 - Culver City Mall LP</t>
  </si>
  <si>
    <t>Fit2Run</t>
  </si>
  <si>
    <t>Ugean</t>
  </si>
  <si>
    <t>TP Tea</t>
  </si>
  <si>
    <t>Umai Savory Hot Dogs</t>
  </si>
  <si>
    <t>FE7</t>
  </si>
  <si>
    <t>Lush Fresh</t>
  </si>
  <si>
    <t>Olga's Tacos</t>
  </si>
  <si>
    <t>TA-Tilly's-GSP</t>
  </si>
  <si>
    <t>TA-Tillys-GSP-03202020</t>
  </si>
  <si>
    <t>TA-Tillys-OLD</t>
  </si>
  <si>
    <t>TA-Tillys-OOR-03202020</t>
  </si>
  <si>
    <t>TA-Hollister-SCM</t>
  </si>
  <si>
    <t>Hollister and Gilly Hicks</t>
  </si>
  <si>
    <t>TA-Hollister-SCR-03042020</t>
  </si>
  <si>
    <t>TA-TechDefen-UTC-11022020</t>
  </si>
  <si>
    <t>TA-Tech Defense-UTC</t>
  </si>
  <si>
    <t>Jezic &amp; Moyse LLC 2020 TA</t>
  </si>
  <si>
    <t>00220559</t>
  </si>
  <si>
    <t>TA-JEZICMOYSE-WHE-120620</t>
  </si>
  <si>
    <t>TA-JEZICMOYSE-WHE-121720</t>
  </si>
  <si>
    <t>TA-JEZICMOYSE-WHE-122320</t>
  </si>
  <si>
    <t>00220558</t>
  </si>
  <si>
    <t>TA-JEZICMOYSE-WHE-1223204</t>
  </si>
  <si>
    <t>TA_Jezic &amp; Moyse_U# 616, 618&amp;</t>
  </si>
  <si>
    <t>TA_JEZIC &amp; MOYSE</t>
  </si>
  <si>
    <t>TA_Jezic &amp; Moyse_U# 604, 614</t>
  </si>
  <si>
    <t>TA-GbyGuess-BRO</t>
  </si>
  <si>
    <t>G by Guess, Guess, or Marciano</t>
  </si>
  <si>
    <t>TA-GbyGuess-BRO-06192020</t>
  </si>
  <si>
    <t>00194746</t>
  </si>
  <si>
    <t>TA-CantinaLa-ROS-10062020</t>
  </si>
  <si>
    <t>TA-CantinaLaredo-ROS-Final</t>
  </si>
  <si>
    <t>TA-CantinaLaredo-ROS-AMD2</t>
  </si>
  <si>
    <t>TA-Hollister-FAS</t>
  </si>
  <si>
    <t>TA-Hollister-FAS-02262020</t>
  </si>
  <si>
    <t>TA_PaintingWithATwist_2425</t>
  </si>
  <si>
    <t>JYUAN</t>
  </si>
  <si>
    <t>00220587</t>
  </si>
  <si>
    <t>TA-PaintingWithaTwist-VLC #1</t>
  </si>
  <si>
    <t>Painting With a Twist</t>
  </si>
  <si>
    <t>TA-Painting-VLC-09172020</t>
  </si>
  <si>
    <t>TA-Its Boba Time-VLC</t>
  </si>
  <si>
    <t>It's Boba Time</t>
  </si>
  <si>
    <t>00220089</t>
  </si>
  <si>
    <t>TA-ItsBoba-VLC-10162020</t>
  </si>
  <si>
    <t>TA-SalonRep-VLC-12182020</t>
  </si>
  <si>
    <t>TA-SalonRepublic-VLC FINAL</t>
  </si>
  <si>
    <t>JEZIC &amp; MOYSE</t>
  </si>
  <si>
    <t>Sugarfina</t>
  </si>
  <si>
    <t>1 year after extension RCD</t>
  </si>
  <si>
    <t xml:space="preserve"> Elite Jewelers</t>
  </si>
  <si>
    <t>Subledger Description</t>
  </si>
  <si>
    <t>TA-Amazon 4-Star-MON</t>
  </si>
  <si>
    <t>TA-Amazon4St-MON-11022020</t>
  </si>
  <si>
    <t>Amazon Retail LLC</t>
  </si>
  <si>
    <t>L.00931536 - Amazon 4 Star</t>
  </si>
  <si>
    <t>A1 Phone Repair, Inc.</t>
  </si>
  <si>
    <t>U.9010</t>
  </si>
  <si>
    <t>TA-WhiteHouseBlack-ANN #1</t>
  </si>
  <si>
    <t>TA-WhiteHous-ANN-07292020</t>
  </si>
  <si>
    <t>White House Black Market, Inc.</t>
  </si>
  <si>
    <t>L.00930461 - White House | Black Market</t>
  </si>
  <si>
    <t>00219383</t>
  </si>
  <si>
    <t>TA-WhiteHouseBlack-ANN FINAL</t>
  </si>
  <si>
    <t>TA_Popeyes U#FC10</t>
  </si>
  <si>
    <t>Popeyes TA and Fuji Mama LC</t>
  </si>
  <si>
    <t>L.00931026 - Popeyes Louisiana Kitchen</t>
  </si>
  <si>
    <t>00220749</t>
  </si>
  <si>
    <t>TA-RIGHTCARE-WHE072120</t>
  </si>
  <si>
    <t>L.00069759 - Right Care Pediatrics P.C.</t>
  </si>
  <si>
    <t>TA-Zinque-CEN-#1</t>
  </si>
  <si>
    <t>Zinque</t>
  </si>
  <si>
    <t>TA-Zinque-CEN-11022020</t>
  </si>
  <si>
    <t>Le Zinc Bar LLC</t>
  </si>
  <si>
    <t>L.00931487 - Zinque</t>
  </si>
  <si>
    <t>00220705</t>
  </si>
  <si>
    <t>TA-Zinque-CEN-#2</t>
  </si>
  <si>
    <t>TA-Zinque-CEN-#3</t>
  </si>
  <si>
    <t>CL Roseville, L.P.</t>
  </si>
  <si>
    <t>U.1175</t>
  </si>
  <si>
    <t>TA - Umai Savory HotDogs U#FE7</t>
  </si>
  <si>
    <t>Q1 TA Accrual</t>
  </si>
  <si>
    <t>L.00928873 - Umai Savory Hot Dogs</t>
  </si>
  <si>
    <t>TA_Rolex U # A39</t>
  </si>
  <si>
    <t>L.00929235 - Rolex Boutique Davidson &amp; Lich</t>
  </si>
  <si>
    <t>TA_Dr Martens_U # B219</t>
  </si>
  <si>
    <t>L.00931997 - Dr. Martens</t>
  </si>
  <si>
    <t>00220817</t>
  </si>
  <si>
    <t>U.135 - fr 35A,35,S34,S35,S33,S32,S31</t>
  </si>
  <si>
    <t>TA-ColorMeMine-OAK-#1</t>
  </si>
  <si>
    <t>TA-ColorMeMine-OAK-121820</t>
  </si>
  <si>
    <t>Art N Fun Studio, Inc.</t>
  </si>
  <si>
    <t>L.00071459 - Color Me Mine</t>
  </si>
  <si>
    <t>00218650</t>
  </si>
  <si>
    <t>TA - Color Me Mine#U7</t>
  </si>
  <si>
    <t>TA AR Offset</t>
  </si>
  <si>
    <t>Funky Fries &amp; Burgers</t>
  </si>
  <si>
    <t>TA-FunkyFrie-PBO-07152020</t>
  </si>
  <si>
    <t>Funky Fries &amp; Burgers, Inc.</t>
  </si>
  <si>
    <t>L.00926494 - Funky Fries &amp; Burgers</t>
  </si>
  <si>
    <t>TA-FunkyFries-BON</t>
  </si>
  <si>
    <t>U.1108</t>
  </si>
  <si>
    <t>World of Jeans &amp; Tops</t>
  </si>
  <si>
    <t>L.00929924 - Tilly's</t>
  </si>
  <si>
    <t>L.00929583 - Tilly's</t>
  </si>
  <si>
    <t>Abercrombie &amp; Fitch Stores, Inc.</t>
  </si>
  <si>
    <t>L.00035492 - Hollister Co.</t>
  </si>
  <si>
    <t>L.00931783 - Tech Defense</t>
  </si>
  <si>
    <t>JEZIC, KRUM &amp; MOYSE, LLC</t>
  </si>
  <si>
    <t>L.00037020 - Jezic, Krum &amp; Moyse, LLC</t>
  </si>
  <si>
    <t>Guess? Retail, Inc.</t>
  </si>
  <si>
    <t>L.00926866 - GBG</t>
  </si>
  <si>
    <t>L.00921034 - Cantina Laredo</t>
  </si>
  <si>
    <t>U.87 - fka 0087</t>
  </si>
  <si>
    <t>L.00928135 - Hollister</t>
  </si>
  <si>
    <t>L.00931630 - Painting With a Twist</t>
  </si>
  <si>
    <t>Visconti Brothers LLC</t>
  </si>
  <si>
    <t>Ruri, Inc</t>
  </si>
  <si>
    <t>L.00931103 - It's Boba Time</t>
  </si>
  <si>
    <t>L.00928748 - Salon Republic</t>
  </si>
  <si>
    <t>TA - Bonobos - GSP</t>
  </si>
  <si>
    <t>TA-BONOBOS-GSP-012021</t>
  </si>
  <si>
    <t>L.00929322 - Bonobos</t>
  </si>
  <si>
    <t>RALFARO</t>
  </si>
  <si>
    <t>TA-HIVEANDCOLONY-GSP</t>
  </si>
  <si>
    <t>Hive &amp; Colony</t>
  </si>
  <si>
    <t>TA-HIVEANCOL-GSP-12112020</t>
  </si>
  <si>
    <t>H&amp;C NJ GSP LLC</t>
  </si>
  <si>
    <t>L.00929412 - Hive &amp; Colony</t>
  </si>
  <si>
    <t>00219754</t>
  </si>
  <si>
    <t>TA-EliteJewelers-MON</t>
  </si>
  <si>
    <t>TA-ELITEJEWELERS-021021</t>
  </si>
  <si>
    <t>Elfnar L.L.C.</t>
  </si>
  <si>
    <t>L.00932695 - Elite Jewelers</t>
  </si>
  <si>
    <t>TA-Amazon 4-Star-OOR</t>
  </si>
  <si>
    <t>TA-AMAZON4OOR-010621</t>
  </si>
  <si>
    <t>L.00931557 - Amazon 4-Star</t>
  </si>
  <si>
    <t>TA-BarSiena-OOR</t>
  </si>
  <si>
    <t>Bar Siena</t>
  </si>
  <si>
    <t>TA-BARSLENA-OOR-02162021</t>
  </si>
  <si>
    <t>Bar Siena Old Orchard, LLC</t>
  </si>
  <si>
    <t>L.00934446 - Bar Siena - SHELL</t>
  </si>
  <si>
    <t>00220832</t>
  </si>
  <si>
    <t>TA - Mario Tricoci Hair Salons</t>
  </si>
  <si>
    <t>Mario Tricoci Hair Salon And D</t>
  </si>
  <si>
    <t>TA-MARIOTRICOCI-OLD121120</t>
  </si>
  <si>
    <t>Mario Tricoci Hair Salons and Day Spas,</t>
  </si>
  <si>
    <t>L.00088957 - Mario Tricoci Hair Salon</t>
  </si>
  <si>
    <t>00221128</t>
  </si>
  <si>
    <t>TA - Build-A-Bear - SCR</t>
  </si>
  <si>
    <t>TA- BLD-A-BEAR-SCR-033120</t>
  </si>
  <si>
    <t>L.00918497 - Build-A-Bear Workshop</t>
  </si>
  <si>
    <t>00184867</t>
  </si>
  <si>
    <t>TA-Happy Lemon-U#9034</t>
  </si>
  <si>
    <t>L.00930938 - Happy Lemon</t>
  </si>
  <si>
    <t>00220910</t>
  </si>
  <si>
    <t>TA Smythson LL2407</t>
  </si>
  <si>
    <t>Tenant Allowance Q1'2021 Acc</t>
  </si>
  <si>
    <t>L.00912685 - Smythson</t>
  </si>
  <si>
    <t>CPAE</t>
  </si>
  <si>
    <t>00219372</t>
  </si>
  <si>
    <t>TA Gansevoort LL2465</t>
  </si>
  <si>
    <t>L.00931947 - Gansevoort Market</t>
  </si>
  <si>
    <t>00220761</t>
  </si>
  <si>
    <t>TA - Kidz Rezort U#1270</t>
  </si>
  <si>
    <t>TA-Kidz Rezort #2170</t>
  </si>
  <si>
    <t>L.00931170 - Kidz Rezort</t>
  </si>
  <si>
    <t>00219130</t>
  </si>
  <si>
    <t>TA-Ugrean Cafe_BRA</t>
  </si>
  <si>
    <t>UGrean Cafe</t>
  </si>
  <si>
    <t>TA-UGREAN CAFE-BRN-010621</t>
  </si>
  <si>
    <t>Lilit Movsisyan</t>
  </si>
  <si>
    <t>L.00931473 - Ugrean</t>
  </si>
  <si>
    <t>TA-Hook &amp; Reel-SSH</t>
  </si>
  <si>
    <t>TA-HOOK&amp;REEL-SSH-010521</t>
  </si>
  <si>
    <t>Cajun Restaurant Bayshore LLC</t>
  </si>
  <si>
    <t>L.00927913 - Hook &amp; Reel</t>
  </si>
  <si>
    <t>TA - Ardene U# 220</t>
  </si>
  <si>
    <t>TA-Ardene U#220</t>
  </si>
  <si>
    <t>L.00931265 - Ardene</t>
  </si>
  <si>
    <t>TA_Ardene_U# 167</t>
  </si>
  <si>
    <t>L.00933907 - Ardene</t>
  </si>
  <si>
    <t>00220820</t>
  </si>
  <si>
    <t>TA-Melissa-CEN</t>
  </si>
  <si>
    <t>Melissa, Melissa Shoes or Meli</t>
  </si>
  <si>
    <t>TA-MELISSA CLUBE-02052021</t>
  </si>
  <si>
    <t>Grendene USA, Inc.</t>
  </si>
  <si>
    <t>L.00932594 - Melissa, Melissa Shoes or Meli</t>
  </si>
  <si>
    <t>00220748</t>
  </si>
  <si>
    <t>TA-One Medical-CEN</t>
  </si>
  <si>
    <t>TA-ONEMEDICAL-12022020</t>
  </si>
  <si>
    <t>1Life Healthcare, Inc.</t>
  </si>
  <si>
    <t>L.00929351 - One Medical</t>
  </si>
  <si>
    <t>TA-Verizon-CUL</t>
  </si>
  <si>
    <t>TA-VERIZON-CUL-09282020</t>
  </si>
  <si>
    <t>GGNP Management Group LLC.</t>
  </si>
  <si>
    <t>L.00931018 - Verizon</t>
  </si>
  <si>
    <t>TA-Tilly's-CUL</t>
  </si>
  <si>
    <t>TA-TILLYS-CUL-03202020</t>
  </si>
  <si>
    <t>L.00929328 - Tilly's</t>
  </si>
  <si>
    <t>TA_Sugarfina_U# A8</t>
  </si>
  <si>
    <t>Q1 2021 TA Accruals</t>
  </si>
  <si>
    <t>L.00934131 - Sugarfina</t>
  </si>
  <si>
    <t>00220783</t>
  </si>
  <si>
    <t>TA-Lululemon-GAR-FINAL</t>
  </si>
  <si>
    <t>TA-LULULEMON-02112021</t>
  </si>
  <si>
    <t>L.00071780 - lululemon athletica</t>
  </si>
  <si>
    <t>TA-Hugo Boss-SFE</t>
  </si>
  <si>
    <t>TA-BOSSHUGOBOSS-073020</t>
  </si>
  <si>
    <t>Hugo Boss Retail, Inc.</t>
  </si>
  <si>
    <t>L.00301209 - Boss Hugo Boss</t>
  </si>
  <si>
    <t>TA_Chalo</t>
  </si>
  <si>
    <t>L.00932100 - Chalo</t>
  </si>
  <si>
    <t>00220738</t>
  </si>
  <si>
    <t>TA - Wheel Works</t>
  </si>
  <si>
    <t>L.00931619 - Wheel Works</t>
  </si>
  <si>
    <t>00220737</t>
  </si>
  <si>
    <t>TA - Rebag U# A17</t>
  </si>
  <si>
    <t>TA-Rebag U#A17</t>
  </si>
  <si>
    <t>L.00927829 - Rebag</t>
  </si>
  <si>
    <t>TA - Salon Republic U# 175</t>
  </si>
  <si>
    <t>TA - Salon Republic U#175</t>
  </si>
  <si>
    <t>TA-Painting with a Twist-VLC</t>
  </si>
  <si>
    <t>TA-PAINTINGWITHA-021921</t>
  </si>
  <si>
    <t>00220751</t>
  </si>
  <si>
    <t>12206 - Brandon</t>
  </si>
  <si>
    <t>12287 - Siesta Key</t>
  </si>
  <si>
    <t>12337 - World Trade Center</t>
  </si>
  <si>
    <t>AP payment- no JE booking</t>
  </si>
  <si>
    <t>not open yet, 1 year after RCD; need to book in Apr</t>
  </si>
  <si>
    <t>need to book in Apr</t>
  </si>
  <si>
    <t>Wheel Works</t>
  </si>
  <si>
    <t>Chalo</t>
  </si>
  <si>
    <t>Happy Lemon</t>
  </si>
  <si>
    <t>World Trade Center</t>
  </si>
  <si>
    <t>Smythson</t>
  </si>
  <si>
    <t>Gansevoort Market</t>
  </si>
  <si>
    <t>LL2407</t>
  </si>
  <si>
    <t>Center Status</t>
  </si>
  <si>
    <t>Receivers</t>
  </si>
  <si>
    <t>TA - Kate Spade - UTC</t>
  </si>
  <si>
    <t>TA-KATESPADE-UTC-012721</t>
  </si>
  <si>
    <t>Tapestry, Inc.</t>
  </si>
  <si>
    <t>L.00930372 - Kate Spade New York</t>
  </si>
  <si>
    <t>TA-Bombay Frankie-CUL</t>
  </si>
  <si>
    <t>TA-BOMBAYF-CUL-11182020</t>
  </si>
  <si>
    <t>L.00929370 - Bombay Frankie Company, The</t>
  </si>
  <si>
    <t>TA-Tourneau-SFE</t>
  </si>
  <si>
    <t>TA-TOURMEAU-03022021</t>
  </si>
  <si>
    <t>L.00927040 - Tourneau</t>
  </si>
  <si>
    <t>TA-V &amp; D Jewelry-NCO</t>
  </si>
  <si>
    <t>V&amp;D Jewelry</t>
  </si>
  <si>
    <t>TA-VDJEWELRY-NCO-09252020</t>
  </si>
  <si>
    <t>Danae Gama and Valeria Gama</t>
  </si>
  <si>
    <t>L.00925561 - V&amp;D Jewelry</t>
  </si>
  <si>
    <t>00220090</t>
  </si>
  <si>
    <t>TA-Pro Image Sports-VLC</t>
  </si>
  <si>
    <t>TA-PROIMAGE-VLC-10202020</t>
  </si>
  <si>
    <t>L&amp;R Sports LLC</t>
  </si>
  <si>
    <t>L.00931363 - Pro Image Sports</t>
  </si>
  <si>
    <t>00220906</t>
  </si>
  <si>
    <t>TA-Hive &amp; Colony-GSP</t>
  </si>
  <si>
    <t>00221132</t>
  </si>
  <si>
    <t>TA-Old Navy U#1041</t>
  </si>
  <si>
    <t>L.00932681 - Old Navy</t>
  </si>
  <si>
    <t>00220590</t>
  </si>
  <si>
    <t>TA-MeIn3D U#9212</t>
  </si>
  <si>
    <t>L.00932582 - MeIn3D</t>
  </si>
  <si>
    <t>TA - Soma Intimates - GSP</t>
  </si>
  <si>
    <t>TA-SOMAINTIMATES-GSP21821</t>
  </si>
  <si>
    <t>Soma Intimates, LLC</t>
  </si>
  <si>
    <t>L.00050412 - Soma Intimates</t>
  </si>
  <si>
    <t>00221212</t>
  </si>
  <si>
    <t>TA - Aerie and Offline U#D8</t>
  </si>
  <si>
    <t>L.00934120 - Aerie and Offline - SHELL</t>
  </si>
  <si>
    <t>00221221</t>
  </si>
  <si>
    <t>TA - Diesel U#1204</t>
  </si>
  <si>
    <t>L.00934939 - Diesel - SHELL</t>
  </si>
  <si>
    <t>00221216</t>
  </si>
  <si>
    <t>TA_Phenix Salon_U# 206</t>
  </si>
  <si>
    <t>TA and Dev TA Accruals</t>
  </si>
  <si>
    <t>L.00934805 - Phenix Salon - SHELL</t>
  </si>
  <si>
    <t>TA - Sunglass Hut - OLD</t>
  </si>
  <si>
    <t>TA-SUNGLASSHUT-OLD030320</t>
  </si>
  <si>
    <t>Luxottica of America Inc.</t>
  </si>
  <si>
    <t>L.00298257 - Sunglass Hut</t>
  </si>
  <si>
    <t>00219132</t>
  </si>
  <si>
    <t>TA - Safari - SCR</t>
  </si>
  <si>
    <t>TA-SAFARI_SCR-07202020</t>
  </si>
  <si>
    <t>Rainier Active, LLC</t>
  </si>
  <si>
    <t>L.00920001 - Safari</t>
  </si>
  <si>
    <t>U.2170</t>
  </si>
  <si>
    <t>00158063</t>
  </si>
  <si>
    <t>TA - Hot Topic - SCR</t>
  </si>
  <si>
    <t>TA-HOTTOPICSCR-03/17/2021</t>
  </si>
  <si>
    <t>Hot Topic, Inc.</t>
  </si>
  <si>
    <t>L.00038368 - Hot Topic - UNIT OVERLAP</t>
  </si>
  <si>
    <t>00220345</t>
  </si>
  <si>
    <t>TA - Amazon 4-Star - SCR</t>
  </si>
  <si>
    <t>TA-AMAZON4-STAR-SCR011921</t>
  </si>
  <si>
    <t>L.00931474 - Amazon 4-Star</t>
  </si>
  <si>
    <t>00219755</t>
  </si>
  <si>
    <t>TA - Wushiland Boba U#2300</t>
  </si>
  <si>
    <t>L.00928855 - Wushiland Boba</t>
  </si>
  <si>
    <t>00221203</t>
  </si>
  <si>
    <t>TA_Melissa Shoes_U# H8</t>
  </si>
  <si>
    <t>TA Accruals</t>
  </si>
  <si>
    <t>L.00934858 - Melissa, Melissa Shoes or Meli</t>
  </si>
  <si>
    <t>00221206</t>
  </si>
  <si>
    <t>TA_LIT Method_U# F14</t>
  </si>
  <si>
    <t>L.00934204 - LIT Method</t>
  </si>
  <si>
    <t>00221207</t>
  </si>
  <si>
    <t>TA_Pura Vida_U# F3A</t>
  </si>
  <si>
    <t>L.00934894 - Pura Vida or Pura Vida Live Fr</t>
  </si>
  <si>
    <t>00221150</t>
  </si>
  <si>
    <t>TA-Haagen Dazs-WTC</t>
  </si>
  <si>
    <t>TA-HAAGEN-DAZS-02082021</t>
  </si>
  <si>
    <t>Moon Retail LLC</t>
  </si>
  <si>
    <t>L.00934384 - Haagen-Dazs</t>
  </si>
  <si>
    <t>TA - RETRO FITNESS-ANN</t>
  </si>
  <si>
    <t>TA RETROTIT-ANN-04082020</t>
  </si>
  <si>
    <t>L.00929104 - Retro Fitness</t>
  </si>
  <si>
    <t>00221181</t>
  </si>
  <si>
    <t>TA_Cioccolato_U#9050</t>
  </si>
  <si>
    <t>L.00931839 - Cioccolato</t>
  </si>
  <si>
    <t>00192565</t>
  </si>
  <si>
    <t>TA - Modern Masters U#1414</t>
  </si>
  <si>
    <t>L.00923720 - Modern Masters</t>
  </si>
  <si>
    <t>U.A1 - Aritzia</t>
  </si>
  <si>
    <t>00221152</t>
  </si>
  <si>
    <t>TA - Ronky Creative Hair Salon</t>
  </si>
  <si>
    <t>Ronky Creative Hair Salon &amp; Be</t>
  </si>
  <si>
    <t>TA-RONKYCREATIVEWHE081120</t>
  </si>
  <si>
    <t>Oracle Fatherox Corporation</t>
  </si>
  <si>
    <t>L.00930198 - Ronky Creative Hair Salon &amp; Be</t>
  </si>
  <si>
    <t>TA-RP Mercal-WHE S</t>
  </si>
  <si>
    <t>TA-RPMERCAL-WHE-S-021021</t>
  </si>
  <si>
    <t>L.00065606 - RP Mercal, Inc</t>
  </si>
  <si>
    <t>00221196</t>
  </si>
  <si>
    <t>TA_Virant Diagnostics_U# 100</t>
  </si>
  <si>
    <t>L.00932907 - Virant Diagnostics LLC</t>
  </si>
  <si>
    <t>TA - Modern Masters - BRO</t>
  </si>
  <si>
    <t>TA-MODERNMASTERSBRD031419</t>
  </si>
  <si>
    <t>G.DJ. Entertainment LLC</t>
  </si>
  <si>
    <t>U.1414 - fka 1414; Modern Masters</t>
  </si>
  <si>
    <t>00221138</t>
  </si>
  <si>
    <t>TA-Tesla-CEN</t>
  </si>
  <si>
    <t>TA-TESLA-03112021</t>
  </si>
  <si>
    <t>L.00918938 - Tesla</t>
  </si>
  <si>
    <t>U.1340 - P2-10/3/17; Tesla</t>
  </si>
  <si>
    <t>U.E2 - fka E002</t>
  </si>
  <si>
    <t>TAP AR Offset - Adjustment</t>
  </si>
  <si>
    <t>TA-Sugarfina-CUL</t>
  </si>
  <si>
    <t>TA-SUGARFINA-03152021</t>
  </si>
  <si>
    <t>Sugarfina USA LLC</t>
  </si>
  <si>
    <t>TA-Casper-ROS</t>
  </si>
  <si>
    <t>TA-CASPER-ROS-05062020</t>
  </si>
  <si>
    <t>Casper Sleep Retail LLC</t>
  </si>
  <si>
    <t>L.00929316 - Casper</t>
  </si>
  <si>
    <t>00221126</t>
  </si>
  <si>
    <t>TA_Coach U#183</t>
  </si>
  <si>
    <t>L.00929323 - Coach</t>
  </si>
  <si>
    <t>00221172</t>
  </si>
  <si>
    <t>TA_Rolex by Tourneau_U#129</t>
  </si>
  <si>
    <t>L.00017830 - Rolex or Rolex by Tourneau</t>
  </si>
  <si>
    <t>00221173</t>
  </si>
  <si>
    <t>TA_ShakeShack_U#8</t>
  </si>
  <si>
    <t>L.00931073 - Shake Shack</t>
  </si>
  <si>
    <t>00221411</t>
  </si>
  <si>
    <t>TA - TedBakerLondon U#126</t>
  </si>
  <si>
    <t>L.00923997 - Ted Baker London</t>
  </si>
  <si>
    <t>TA-Bras N Things-TOP</t>
  </si>
  <si>
    <t>TA-BRASNTHING-02122021</t>
  </si>
  <si>
    <t>HanesBrands Inc.</t>
  </si>
  <si>
    <t>L.00930435 - Bras N Things</t>
  </si>
  <si>
    <t>00220644</t>
  </si>
  <si>
    <t>TA-Aritzia-TOP</t>
  </si>
  <si>
    <t>TA-ARITZIA-03022021</t>
  </si>
  <si>
    <t>United States of Aritzia, Inc.</t>
  </si>
  <si>
    <t>L.00934145 - Aritzia</t>
  </si>
  <si>
    <t>Correction of TA- Rolex U#A39</t>
  </si>
  <si>
    <t>00220908</t>
  </si>
  <si>
    <t>TA-Sugarfina-FAS</t>
  </si>
  <si>
    <t>TA-SUGRAFINE-FAS-022221</t>
  </si>
  <si>
    <t>L.00933351 - Sugarfina</t>
  </si>
  <si>
    <t>00221410</t>
  </si>
  <si>
    <t>TA - BathBody&amp;Works U#F9</t>
  </si>
  <si>
    <t>L.00035777 - Bath &amp; Body Works</t>
  </si>
  <si>
    <t>TA-OlgasTacos-PLM</t>
  </si>
  <si>
    <t>TA-OLGA'STACOS-11302020</t>
  </si>
  <si>
    <t>Ignacio Zavala</t>
  </si>
  <si>
    <t>U.FC4 - fka FC04; Stone Oven</t>
  </si>
  <si>
    <t>00220774</t>
  </si>
  <si>
    <t>TA-CityWok-PLM</t>
  </si>
  <si>
    <t>TA-CITYWOK-03182021</t>
  </si>
  <si>
    <t>Hu-Yu</t>
  </si>
  <si>
    <t>L.00933977 - City Work</t>
  </si>
  <si>
    <t>00221127</t>
  </si>
  <si>
    <t>TA-Picture Place-PBO</t>
  </si>
  <si>
    <t>The Picture Place LLC</t>
  </si>
  <si>
    <t>TA-PICTUREPI-PBO-10092020</t>
  </si>
  <si>
    <t>L.00931048 - Back to School Fair</t>
  </si>
  <si>
    <t>00221175</t>
  </si>
  <si>
    <t>TA - Jay Bird's - U#M20</t>
  </si>
  <si>
    <t>Commission Fee and TA Accrual</t>
  </si>
  <si>
    <t>L.00934236 - Jay Bird's Nashville Hot Chick</t>
  </si>
  <si>
    <t>00221176</t>
  </si>
  <si>
    <t>TA - Pressed Juicery - U#T62</t>
  </si>
  <si>
    <t>L.00934133 - Pressed</t>
  </si>
  <si>
    <t>Commission Fee and TA Accr</t>
  </si>
  <si>
    <t xml:space="preserve">Ronky Creative </t>
  </si>
  <si>
    <t>Virant Diagnostics</t>
  </si>
  <si>
    <t>Cioccolato</t>
  </si>
  <si>
    <t>Aerie and Offline</t>
  </si>
  <si>
    <t>Diesel</t>
  </si>
  <si>
    <t>Phenix Salon</t>
  </si>
  <si>
    <t>Bath and Body work</t>
  </si>
  <si>
    <t>Picture Place</t>
  </si>
  <si>
    <t>Ted Baker</t>
  </si>
  <si>
    <t>Jay Bird</t>
  </si>
  <si>
    <t>Melissa Shoes</t>
  </si>
  <si>
    <t>LIT Method</t>
  </si>
  <si>
    <t>Pura Vida</t>
  </si>
  <si>
    <t>TA - Athena U#9250</t>
  </si>
  <si>
    <t>L.00930789 - Athena Greek Coffee &amp; Bakery</t>
  </si>
  <si>
    <t>00221626</t>
  </si>
  <si>
    <t>TA - Fabletics - MON</t>
  </si>
  <si>
    <t>TA-FABLETICS-MON 050321</t>
  </si>
  <si>
    <t>JF Retail Services, LLC</t>
  </si>
  <si>
    <t>L.00934659 - Fabletics</t>
  </si>
  <si>
    <t>TA-Popeyes Louisiana Kitchen-A</t>
  </si>
  <si>
    <t>Popeyes Louisiana Kitchen</t>
  </si>
  <si>
    <t>TA-POPEYES-ANN-012721</t>
  </si>
  <si>
    <t>HP Annapolis Food LLC</t>
  </si>
  <si>
    <t>TA_Great American_U#535</t>
  </si>
  <si>
    <t>L.00932341 - Great American Cookies</t>
  </si>
  <si>
    <t>00221639</t>
  </si>
  <si>
    <t>TA-Jezic, Krum &amp; Moyse-WHE N</t>
  </si>
  <si>
    <t>TA-JEZIC&amp;MOYSELLC-12/9/20</t>
  </si>
  <si>
    <t>TA-TILLYS-CUL-0320202</t>
  </si>
  <si>
    <t>TA-Devon's Jewelers-GAR</t>
  </si>
  <si>
    <t>TA-DVONSJEWELERS-03042021</t>
  </si>
  <si>
    <t>L.00090496 - Devon's Jewelers</t>
  </si>
  <si>
    <t>00221125</t>
  </si>
  <si>
    <t>TA-Coach-SFE</t>
  </si>
  <si>
    <t>TA-COACH-02242021</t>
  </si>
  <si>
    <t>TA-Sugarfina-TOP</t>
  </si>
  <si>
    <t>TA-SUGARFINA-032222021</t>
  </si>
  <si>
    <t>L.00933354 - Sugarfina</t>
  </si>
  <si>
    <t>00221142</t>
  </si>
  <si>
    <t>TA-Bras N Things-FAS</t>
  </si>
  <si>
    <t>TA-BRASNTHINGS-01062021</t>
  </si>
  <si>
    <t>L.00930285 - Bras N Things</t>
  </si>
  <si>
    <t>TA-Color Me Mine-OAK</t>
  </si>
  <si>
    <t>TA-COLORMEMINE-OAK-012821</t>
  </si>
  <si>
    <t>Bath &amp; Body Works/White Barn/W</t>
  </si>
  <si>
    <t>TA-BATHANDBODYWKS-050721</t>
  </si>
  <si>
    <t>TA-Bath&amp;BodyWorks-OAK</t>
  </si>
  <si>
    <t>TA_UmaiSavoryHotDogs_U#FC10</t>
  </si>
  <si>
    <t>L.00935005 - Umai Savory Hot Dogs</t>
  </si>
  <si>
    <t>00221627</t>
  </si>
  <si>
    <t>Color Me Mine TA Adjustment</t>
  </si>
  <si>
    <t>JGOMEZ</t>
  </si>
  <si>
    <t>TA - Superdish #U1003</t>
  </si>
  <si>
    <t>Oakridge TA Accrual</t>
  </si>
  <si>
    <t>L.00935003 - Superdish</t>
  </si>
  <si>
    <t>00221641</t>
  </si>
  <si>
    <t>TA_Lululemon Athletica_U#D12</t>
  </si>
  <si>
    <t>L.00932498 - Lululemon Athletica</t>
  </si>
  <si>
    <t>00221618</t>
  </si>
  <si>
    <t>c</t>
  </si>
  <si>
    <t>Umai Savory House Dog</t>
  </si>
  <si>
    <t>Superdish</t>
  </si>
  <si>
    <t>Payable 60 days following expiration of third lease year</t>
  </si>
  <si>
    <t>2 years after required opening date</t>
  </si>
  <si>
    <t>Per Amendment No.1, TA to be used to offset AR.</t>
  </si>
  <si>
    <t>Great American</t>
  </si>
  <si>
    <t>TA_Elite Jewelers_U# 2072</t>
  </si>
  <si>
    <t>00221788</t>
  </si>
  <si>
    <t>TA_Avalon_U# 2464</t>
  </si>
  <si>
    <t>L.00931682 - Avalon</t>
  </si>
  <si>
    <t>00221756</t>
  </si>
  <si>
    <t>TA_Seoul Spice_U# FC15</t>
  </si>
  <si>
    <t>L.00934192 - Seoul Spice</t>
  </si>
  <si>
    <t>00221773</t>
  </si>
  <si>
    <t>TA_Haagen-Dazs U#LL5104</t>
  </si>
  <si>
    <t>Q2 2021 Haagen-Dazs TA</t>
  </si>
  <si>
    <t>TA - Blind Tiger Cafe U#885</t>
  </si>
  <si>
    <t>L.00931535 - Blind Tiger Cafe</t>
  </si>
  <si>
    <t>00220752</t>
  </si>
  <si>
    <t>TA_Jollibee_U# FSU2C</t>
  </si>
  <si>
    <t>L.00931943 - Jollibee</t>
  </si>
  <si>
    <t>00221654</t>
  </si>
  <si>
    <t>TA_Ronky Creative Hair_U# G10D</t>
  </si>
  <si>
    <t>TA_Zinque_U#2790</t>
  </si>
  <si>
    <t>Q2 2021 TA Accruals</t>
  </si>
  <si>
    <t>YCHEN</t>
  </si>
  <si>
    <t>TA-Design Within Reach U#1915</t>
  </si>
  <si>
    <t>L.00932711 - Herman Miller</t>
  </si>
  <si>
    <t>00221630</t>
  </si>
  <si>
    <t>TA_Melissa_U#1900</t>
  </si>
  <si>
    <t>May 2021 TA Recon</t>
  </si>
  <si>
    <t>TA_Blue Nile_U#1655</t>
  </si>
  <si>
    <t>L.00934119 - Blue Nile</t>
  </si>
  <si>
    <t>00221655</t>
  </si>
  <si>
    <t>TA_Bath &amp; Body Works_U#D7</t>
  </si>
  <si>
    <t>L.00020980 - Bath &amp; Body Works</t>
  </si>
  <si>
    <t>00221631</t>
  </si>
  <si>
    <t>TA - Cantina Laredo U#1175</t>
  </si>
  <si>
    <t>RCL InvTA to TA &amp; add TA</t>
  </si>
  <si>
    <t>TA - Psycho Bunny #204</t>
  </si>
  <si>
    <t>SFC TA Accrual</t>
  </si>
  <si>
    <t>SFLAHERTY</t>
  </si>
  <si>
    <t>00221780</t>
  </si>
  <si>
    <t>TA American Eagle U2062</t>
  </si>
  <si>
    <t>Q2 CapEx Accr</t>
  </si>
  <si>
    <t>L.00104761 - American Eagle Outfitters and/</t>
  </si>
  <si>
    <t>TA YSL U1084C</t>
  </si>
  <si>
    <t>L.00928347 - Saint Laurent</t>
  </si>
  <si>
    <t>TA Casper U1034</t>
  </si>
  <si>
    <t>L.00928503 - Casper</t>
  </si>
  <si>
    <t>TA Versace U1084D</t>
  </si>
  <si>
    <t>L.00930631 - Versace</t>
  </si>
  <si>
    <t>00220763</t>
  </si>
  <si>
    <t>TA Aritzia U63A</t>
  </si>
  <si>
    <t>Accrual Offset TA Pmt</t>
  </si>
  <si>
    <t>TA Sugarfina U2070</t>
  </si>
  <si>
    <t>TA Zagg U9228</t>
  </si>
  <si>
    <t>Open Notice Accrual</t>
  </si>
  <si>
    <t>L.00913621 - Zagg</t>
  </si>
  <si>
    <t>00221062</t>
  </si>
  <si>
    <t>Rvs TA Artizia 63A</t>
  </si>
  <si>
    <t>Correct Asset # Aritzia TA</t>
  </si>
  <si>
    <t>00221779</t>
  </si>
  <si>
    <t>Dev TA_Dr Martens U#B219</t>
  </si>
  <si>
    <t>Recls from Reg TA to Dev TA</t>
  </si>
  <si>
    <t>TA Pickle&amp;Swiss U1030</t>
  </si>
  <si>
    <t>TA Maidson Reed U1515</t>
  </si>
  <si>
    <t>L.00934219 - Madison Reed</t>
  </si>
  <si>
    <t>00221661</t>
  </si>
  <si>
    <t>TA One Medical  U1585</t>
  </si>
  <si>
    <t>L.00931969 - One Medical</t>
  </si>
  <si>
    <t>00221662</t>
  </si>
  <si>
    <t>MAY21 ACCR - Tenant Allowance</t>
  </si>
  <si>
    <t>Q2 May Capex Accrual</t>
  </si>
  <si>
    <t>NJOBSON</t>
  </si>
  <si>
    <t>TA_V&amp;D Jewelry_U#257</t>
  </si>
  <si>
    <t>NC Operating TA</t>
  </si>
  <si>
    <t>TA_SKSI_U#245</t>
  </si>
  <si>
    <t>L.00931278 - SKSI</t>
  </si>
  <si>
    <t>00220757</t>
  </si>
  <si>
    <t>TA_JD Sports_U#461</t>
  </si>
  <si>
    <t>L.00934342 - JD, JD Sports or Finish Line</t>
  </si>
  <si>
    <t>00221191</t>
  </si>
  <si>
    <t>City Wok TA</t>
  </si>
  <si>
    <t>Q2 Capex Accrual</t>
  </si>
  <si>
    <t>U.W400 - City Work</t>
  </si>
  <si>
    <t>TA_Picture Place_U#2070</t>
  </si>
  <si>
    <t>L.00931408 - Picture Place, The</t>
  </si>
  <si>
    <t>JUN21 ACCR - Tenant Allowance</t>
  </si>
  <si>
    <t>JUN-2021 CAPEX ACCRUALS-12271</t>
  </si>
  <si>
    <t>L.00929915 - Sip Fresh</t>
  </si>
  <si>
    <t>Blind Tiger Café</t>
  </si>
  <si>
    <t>Blue Nile</t>
  </si>
  <si>
    <t>Claire</t>
  </si>
  <si>
    <t xml:space="preserve">Avalon </t>
  </si>
  <si>
    <t>Seoul Spice</t>
  </si>
  <si>
    <t>SKSI</t>
  </si>
  <si>
    <t>JD Sports</t>
  </si>
  <si>
    <t>Psycho Bunny</t>
  </si>
  <si>
    <t>Maidson Reed</t>
  </si>
  <si>
    <r>
      <t xml:space="preserve">AR offset debit missing. </t>
    </r>
    <r>
      <rPr>
        <sz val="10"/>
        <color rgb="FF0070C0"/>
        <rFont val="Arial"/>
        <family val="2"/>
      </rPr>
      <t>B#9883759 is made to offset AR.</t>
    </r>
  </si>
  <si>
    <r>
      <t xml:space="preserve">AP payment- no JE booking. </t>
    </r>
    <r>
      <rPr>
        <sz val="10"/>
        <color rgb="FF0070C0"/>
        <rFont val="Arial"/>
        <family val="2"/>
      </rPr>
      <t>B# 9883759 is made to offset AP PMT.</t>
    </r>
  </si>
  <si>
    <r>
      <t xml:space="preserve">AP payment- no JE booking. </t>
    </r>
    <r>
      <rPr>
        <sz val="10"/>
        <color rgb="FF0070C0"/>
        <rFont val="Arial"/>
        <family val="2"/>
      </rPr>
      <t>Reclass to TA inventory due to remaining bal combined with new TA per Addl Amendment is over $150k.</t>
    </r>
  </si>
  <si>
    <t>Design Within Reach/Herman Miller</t>
  </si>
  <si>
    <t>2 year after RCD</t>
  </si>
  <si>
    <t>1.5 year after RCD</t>
  </si>
  <si>
    <t>1 year after RCD, RCD pending</t>
  </si>
  <si>
    <t>2 years after RCD, RCD pending</t>
  </si>
  <si>
    <t>TA_Philosophy</t>
  </si>
  <si>
    <t>L.00915971 - Philosophy</t>
  </si>
  <si>
    <t>JLAM</t>
  </si>
  <si>
    <t>00181591</t>
  </si>
  <si>
    <t>TA_Morphe</t>
  </si>
  <si>
    <t>L.00923995 - Morphe</t>
  </si>
  <si>
    <t>00194931</t>
  </si>
  <si>
    <t>REDUCTION TO TA AMOUNT</t>
  </si>
  <si>
    <t>L.00039224 - J. Crew</t>
  </si>
  <si>
    <t>TA_Fabletics_U# 2038</t>
  </si>
  <si>
    <t>00221789</t>
  </si>
  <si>
    <t>TA - Warby Parker - OLD</t>
  </si>
  <si>
    <t>TA-WARBY-OOR-FINAL110620</t>
  </si>
  <si>
    <t>L.00931546 - Warby Parker</t>
  </si>
  <si>
    <t>TA- Swarovski- WTC</t>
  </si>
  <si>
    <t>TA-SWAROVSKI-WTC-051121</t>
  </si>
  <si>
    <t>Swarovski Retail Ventures Ltd.</t>
  </si>
  <si>
    <t>L.00934658 - Swarovski</t>
  </si>
  <si>
    <t>TA_C.J Watch</t>
  </si>
  <si>
    <t>L.00317155 - C.J. Watch &amp; Jewelry</t>
  </si>
  <si>
    <t>00196268</t>
  </si>
  <si>
    <t>TA - GREAT AMERICAN COOKIES-BR</t>
  </si>
  <si>
    <t>TA-GREAT AMERICANBRA4721</t>
  </si>
  <si>
    <t>Brandon Mall Cookie LLC</t>
  </si>
  <si>
    <t>TA-G by Guess-BRA</t>
  </si>
  <si>
    <t>TA-GBYGUESS-BRA-062420</t>
  </si>
  <si>
    <t>L.00071785 - G By Guess</t>
  </si>
  <si>
    <t>00192553</t>
  </si>
  <si>
    <t>TA_Invite Health</t>
  </si>
  <si>
    <t>L.00922974 - Invite Health Vitamins</t>
  </si>
  <si>
    <t>00190953</t>
  </si>
  <si>
    <t>TA_Brandon Mall Pharmacy</t>
  </si>
  <si>
    <t>L.00924953 - Brandon Mall Pharmacy</t>
  </si>
  <si>
    <t>00194745</t>
  </si>
  <si>
    <t>TA_Grain &amp; Berry</t>
  </si>
  <si>
    <t>L.00926577 - Grain &amp; Berry</t>
  </si>
  <si>
    <t>L.00930198 - Ronky Hair Salon</t>
  </si>
  <si>
    <t>TA_EZ Relaxation</t>
  </si>
  <si>
    <t>L.00915991 - EZ Relaxation</t>
  </si>
  <si>
    <t>00183794</t>
  </si>
  <si>
    <t>TA_Payless</t>
  </si>
  <si>
    <t>L.00333198 - Payless Shoesource</t>
  </si>
  <si>
    <t>00195625</t>
  </si>
  <si>
    <t>TA-Design Within Reach-CEN</t>
  </si>
  <si>
    <t>Design Within Reach, DWR, Herm</t>
  </si>
  <si>
    <t>TA-DESIGN WITHIN05032021</t>
  </si>
  <si>
    <t>Design Within Reach, Inc.</t>
  </si>
  <si>
    <t>TA-Zinque-CEN</t>
  </si>
  <si>
    <t>TA-ZINQUE-05032021</t>
  </si>
  <si>
    <t>TA-FP Movement-CEN</t>
  </si>
  <si>
    <t>FP Movement</t>
  </si>
  <si>
    <t>TA-FP MOVEMENT-052521</t>
  </si>
  <si>
    <t>URBN US Retail LLC</t>
  </si>
  <si>
    <t>L.00931574 - FP Movement</t>
  </si>
  <si>
    <t>00221791</t>
  </si>
  <si>
    <t>TA_Spice Affair</t>
  </si>
  <si>
    <t>L.00918488 - Spice Affair- An Indian Indulg</t>
  </si>
  <si>
    <t>00184572</t>
  </si>
  <si>
    <t>TA-Lush-CUL</t>
  </si>
  <si>
    <t>TA-LUSH--11062020</t>
  </si>
  <si>
    <t>L.00931579 - Lush Fresh Handmade Cosmetics</t>
  </si>
  <si>
    <t>U.A12 - fka A012, Lenscrafters</t>
  </si>
  <si>
    <t>TA-Fabletics-ROS</t>
  </si>
  <si>
    <t>TA-FABLETICS-052721</t>
  </si>
  <si>
    <t>L.00935273 - Fabletics - SHELL</t>
  </si>
  <si>
    <t>00221832</t>
  </si>
  <si>
    <t>TA-Devon's Jewelers U#1080</t>
  </si>
  <si>
    <t>RCL to correct liability acc</t>
  </si>
  <si>
    <t>TA-Umai-SFE</t>
  </si>
  <si>
    <t>TA-UMAI-11072020</t>
  </si>
  <si>
    <t>Dinnovations, LLC</t>
  </si>
  <si>
    <t>L.00934349 - Psycho Bunny</t>
  </si>
  <si>
    <t>TA-Casper-TOP</t>
  </si>
  <si>
    <t>TA-CASPER-05062020</t>
  </si>
  <si>
    <t>RVS TA American Eagle U2062</t>
  </si>
  <si>
    <t>Q2 CapEx Accr Rvsl</t>
  </si>
  <si>
    <t>RVS TA YSL U1084C</t>
  </si>
  <si>
    <t>RVS TA Casper U1034</t>
  </si>
  <si>
    <t>U.1030 - Intersection Broadway/FultonSt</t>
  </si>
  <si>
    <t>TA_ANGL</t>
  </si>
  <si>
    <t>L.00911651 - Angl</t>
  </si>
  <si>
    <t>00147331</t>
  </si>
  <si>
    <t>U.113 - fka 0113</t>
  </si>
  <si>
    <t>Inventory Payable Sugarfina</t>
  </si>
  <si>
    <t>Q2 Balance Sheet Recon</t>
  </si>
  <si>
    <t>U.206 - fka 0206</t>
  </si>
  <si>
    <t>Inventory Payable City Wok</t>
  </si>
  <si>
    <t>Sip Fresh TA Adjustment</t>
  </si>
  <si>
    <t>TA Payable Adjustment</t>
  </si>
  <si>
    <t>RCLS TO TA</t>
  </si>
  <si>
    <t>L.00116326 - Ivy Day Spa, The</t>
  </si>
  <si>
    <t>RCLS TO FA</t>
  </si>
  <si>
    <t>FP Moment</t>
  </si>
  <si>
    <t>AP payment, Accrue JE missing</t>
  </si>
  <si>
    <t>Wrong JE need to reverse in July</t>
  </si>
  <si>
    <t>12291 - Topanga</t>
  </si>
  <si>
    <t>U.535 - fka 0535; Great American Cooki</t>
  </si>
  <si>
    <t>TA-CIOCCOLATO-BRA</t>
  </si>
  <si>
    <t>TA-CIOCCOLATO-BRA-033121</t>
  </si>
  <si>
    <t>Ash M &amp; M LLC</t>
  </si>
  <si>
    <t>TA-Blind Tiger Cafe-BRA</t>
  </si>
  <si>
    <t>Blind Tiger Cafe</t>
  </si>
  <si>
    <t>TA-BLINDTIGER-BRA-012521</t>
  </si>
  <si>
    <t>Blind Tiger Cafe Westfield Brandon Mall,</t>
  </si>
  <si>
    <t>TA-Shake Shack-ROS</t>
  </si>
  <si>
    <t>TA-SHAKESHACK-042021</t>
  </si>
  <si>
    <t>Shake Shack California LLC</t>
  </si>
  <si>
    <t>L.00930900 - Shake Shack</t>
  </si>
  <si>
    <t>TA-Rolex-SFE</t>
  </si>
  <si>
    <t>Rolex or Rolex by Tourneau and</t>
  </si>
  <si>
    <t>TA-ROLEXBYTOUR-03162021</t>
  </si>
  <si>
    <t>TA-lululemon-SAN-Revised 2</t>
  </si>
  <si>
    <t>TA-LULULEMON-SAN-050721</t>
  </si>
  <si>
    <t>L.00934392 - lululemon athletica</t>
  </si>
  <si>
    <t xml:space="preserve">1 year after RCD </t>
  </si>
  <si>
    <t>Not open yet, 2 years after RCD (2/10/21)</t>
  </si>
  <si>
    <t>Expired 1 year after RCD - TT terminated: Reversed in July-21</t>
  </si>
  <si>
    <t>Not open yet, 1 year from RCD: Reversed in July-21</t>
  </si>
  <si>
    <t>Expired 2 years from relocation effective date of 11/12/18: Reversed in July-21</t>
  </si>
  <si>
    <t>Expired 1 year after original RCD: Reversed in July-21</t>
  </si>
  <si>
    <t>Expired 1 year after RCD (11/1/18): Reversed in July-21</t>
  </si>
  <si>
    <t>TA is requested in full - Tenant requested on 1/15/18.  Revsered in July-21</t>
  </si>
  <si>
    <t>12268 - Old Orchard Office</t>
  </si>
  <si>
    <t>12295 - Valencia North</t>
  </si>
  <si>
    <t>12296 - Valencia South</t>
  </si>
  <si>
    <t>TA - Seoul Spice - MON</t>
  </si>
  <si>
    <t>TA-SEOULSPICE-MON 062821</t>
  </si>
  <si>
    <t>Seoul Spice 6 LLC</t>
  </si>
  <si>
    <t>TA - Happy Lemon - UTC</t>
  </si>
  <si>
    <t>TA-HAPPY LEMON_UTC021921</t>
  </si>
  <si>
    <t>Green Lemon LLC</t>
  </si>
  <si>
    <t>Recl TA Payment_Forward</t>
  </si>
  <si>
    <t>07-21 TA &amp; Dev TA Adjustment</t>
  </si>
  <si>
    <t>L.00929896 - Forward</t>
  </si>
  <si>
    <t>Rvs TA - Allbirds U#2010</t>
  </si>
  <si>
    <t>L.00931599 - Allbirds</t>
  </si>
  <si>
    <t>Recl TA Payment_One Medical</t>
  </si>
  <si>
    <t>L.00931614 - One Medical</t>
  </si>
  <si>
    <t>TA_Clasico_U#775</t>
  </si>
  <si>
    <t>L.00931603 - Clasico Chophouse and/or Chapt</t>
  </si>
  <si>
    <t>00221929</t>
  </si>
  <si>
    <t>TA Adjustment Brandon</t>
  </si>
  <si>
    <t>TA-Latt Liv-BRA</t>
  </si>
  <si>
    <t>TA-LATT LIV-BRA-122019</t>
  </si>
  <si>
    <t>Simple Vogue Inc</t>
  </si>
  <si>
    <t>L.00929035 - Latt Liv</t>
  </si>
  <si>
    <t>U.581 - fka 0581, Latt Liv</t>
  </si>
  <si>
    <t>Dispose TA 7-Eleven B4</t>
  </si>
  <si>
    <t>TA and Dev TA Payable Clean Up</t>
  </si>
  <si>
    <t>L.00926556 - 7 - Eleven</t>
  </si>
  <si>
    <t>Dispose TA Takumi A20</t>
  </si>
  <si>
    <t>L.00924528 - Takumi</t>
  </si>
  <si>
    <t>Re-Accrue TA 7-Eleven B4</t>
  </si>
  <si>
    <t>Re-Accrue TA</t>
  </si>
  <si>
    <t>Re-Accrue TA Takumi A20</t>
  </si>
  <si>
    <t>TA_Build-A-Bear Workshop_U#249</t>
  </si>
  <si>
    <t>12292 TA Clean Up</t>
  </si>
  <si>
    <t>L.00106903 - Build-A-Bear Workshop</t>
  </si>
  <si>
    <t>TA_Children's Place_U#1124</t>
  </si>
  <si>
    <t>L.00106966 - Children's Place, The</t>
  </si>
  <si>
    <t>L.00926557 - 7-Eleven</t>
  </si>
  <si>
    <t>00197033</t>
  </si>
  <si>
    <t>TA_Athena Greek_U#229</t>
  </si>
  <si>
    <t>L.00930623 - Athena Greek Coffee &amp; Bakery</t>
  </si>
  <si>
    <t>TA-Jongro BBQ-WHE - Progress P</t>
  </si>
  <si>
    <t>Jongro BBQ</t>
  </si>
  <si>
    <t>TA-JONGROBBQ-WHE-061621</t>
  </si>
  <si>
    <t>Orah, LLC</t>
  </si>
  <si>
    <t>L.00932814 - Jongro BBQ</t>
  </si>
  <si>
    <t>00221850</t>
  </si>
  <si>
    <t>U.LLH15</t>
  </si>
  <si>
    <t>Thoronka Law Offices</t>
  </si>
  <si>
    <t>TA-TORONKALAW-WHEN-062421</t>
  </si>
  <si>
    <t>Thoronka Law Offices, LLC</t>
  </si>
  <si>
    <t>L.00919663 - Thoronka Law Offices, LLC</t>
  </si>
  <si>
    <t>00221896</t>
  </si>
  <si>
    <t>TA - Thoronka Law Offices - WH</t>
  </si>
  <si>
    <t>TA True Up Broward</t>
  </si>
  <si>
    <t>TA-Psycho Bunny-CEN</t>
  </si>
  <si>
    <t>TA-PSYCHOBUNNY-052821</t>
  </si>
  <si>
    <t>Bunny Retail Limited Partnership</t>
  </si>
  <si>
    <t>L.00932340 - Psycho Bunny</t>
  </si>
  <si>
    <t>00221842</t>
  </si>
  <si>
    <t>TA-Shake Shack-SFE</t>
  </si>
  <si>
    <t>TA-SHAKESHACK-030821</t>
  </si>
  <si>
    <t>TA-ARITZIA-061021</t>
  </si>
  <si>
    <t>TA-Claire's-FAS</t>
  </si>
  <si>
    <t>TA-CLAIRE'S-FAS-011421</t>
  </si>
  <si>
    <t>L.00099100 - Claire's</t>
  </si>
  <si>
    <t>00220740</t>
  </si>
  <si>
    <t>OAK21020</t>
  </si>
  <si>
    <t>U.F9 - fka F009; fr SF8; Bath &amp; Body</t>
  </si>
  <si>
    <t>Diamond Ring Co U#X26 TA Accr</t>
  </si>
  <si>
    <t>L.00931861 - Diamond Ring Company, The</t>
  </si>
  <si>
    <t>00221878</t>
  </si>
  <si>
    <t>TA - Diamond Ring Co U#X26</t>
  </si>
  <si>
    <t>TA - Mochinut U#T13</t>
  </si>
  <si>
    <t>Mochinut U#T13 TA Accr</t>
  </si>
  <si>
    <t>L.00935708 - Mochinut</t>
  </si>
  <si>
    <t>00221907</t>
  </si>
  <si>
    <t>TA-CITYWOK-PLM-05112021</t>
  </si>
  <si>
    <t>L.00933977 - City Wok</t>
  </si>
  <si>
    <t>Q3 Capex Accrual</t>
  </si>
  <si>
    <t>00221783</t>
  </si>
  <si>
    <t>TA - CrabNSpice U#675</t>
  </si>
  <si>
    <t>L.00931320 - Crab N Spice</t>
  </si>
  <si>
    <t>12295.200330</t>
  </si>
  <si>
    <t>00221901</t>
  </si>
  <si>
    <t>TA-IVYDAYSPA-031920</t>
  </si>
  <si>
    <t>Ivy Day Spa LLC, The</t>
  </si>
  <si>
    <t>12296.200330</t>
  </si>
  <si>
    <t>00218654</t>
  </si>
  <si>
    <t>TA-IvyDaySpa-VLC</t>
  </si>
  <si>
    <t>U.500 - fka 100; Ivy Day Spa</t>
  </si>
  <si>
    <t>Clasico Chophouse</t>
  </si>
  <si>
    <t>Diamond Ring</t>
  </si>
  <si>
    <t>Mochinut</t>
  </si>
  <si>
    <t>Crab N Spice</t>
  </si>
  <si>
    <t>REV TA DISPOSAL</t>
  </si>
  <si>
    <t>TA REV_FOREFEIT/TERMINATION</t>
  </si>
  <si>
    <t>TA - Virant Diagnostics 404- W</t>
  </si>
  <si>
    <t>Virant Diagnostics LLC</t>
  </si>
  <si>
    <t>TA-VIRANTDIAG-WHES-061021</t>
  </si>
  <si>
    <t>Huamin Henry Li and Juan Joanne Yu</t>
  </si>
  <si>
    <t>00221904</t>
  </si>
  <si>
    <t>U.800 - fka 0800</t>
  </si>
  <si>
    <t>TA-One Medical-VIL</t>
  </si>
  <si>
    <t>TA-ONEMEDICAL-072321</t>
  </si>
  <si>
    <t>TA_Le Macaron_U# 9022 Payment</t>
  </si>
  <si>
    <t>L.00930751 - Le Macaron French Pastries</t>
  </si>
  <si>
    <t>TA - Ben Bridge Jeweler U#C19</t>
  </si>
  <si>
    <t>TA &amp; Dev TA Accrual</t>
  </si>
  <si>
    <t>L.00108820 - Ben Bridge Jeweler since 1912</t>
  </si>
  <si>
    <t>00221412</t>
  </si>
  <si>
    <t>TA_VinFast_U# H21</t>
  </si>
  <si>
    <t>L.00935573 - VinFast - SHELL</t>
  </si>
  <si>
    <t>00221897</t>
  </si>
  <si>
    <t>TA_Tempur Pedic_U# D15</t>
  </si>
  <si>
    <t>L.00932386 - Tempur-Pedic</t>
  </si>
  <si>
    <t>00221913</t>
  </si>
  <si>
    <t>TA_Albion_U# 2460</t>
  </si>
  <si>
    <t>L.00935862 - Albion</t>
  </si>
  <si>
    <t>00221915</t>
  </si>
  <si>
    <t>TA_Haidilao_U# F9</t>
  </si>
  <si>
    <t>L.00931510 - Haidilao</t>
  </si>
  <si>
    <t>00221924</t>
  </si>
  <si>
    <t>TA_Knix_U# D13</t>
  </si>
  <si>
    <t>L.00935916 - Knix</t>
  </si>
  <si>
    <t>00221991</t>
  </si>
  <si>
    <t>TA-Louis Vuitton-TOP</t>
  </si>
  <si>
    <t>TA-LOUISVUITTON-072121</t>
  </si>
  <si>
    <t>Louis Vuitton USA Inc.</t>
  </si>
  <si>
    <t>L.00243731 - Louis Vuitton</t>
  </si>
  <si>
    <t>00221920</t>
  </si>
  <si>
    <t>TA-American Eagle-TOP</t>
  </si>
  <si>
    <t>TA-AMERICANEAGLE-030120</t>
  </si>
  <si>
    <t>AE Retail West LLC</t>
  </si>
  <si>
    <t>TA-Versace-TOP</t>
  </si>
  <si>
    <t>TA-VERSACE-03262021</t>
  </si>
  <si>
    <t>Versace USA, Inc.</t>
  </si>
  <si>
    <t>L.00932622 - Versace USA, Inc.</t>
  </si>
  <si>
    <t>TA-FABLETICS-MON#2 062221</t>
  </si>
  <si>
    <t>TA - Athleta - GSP - Final</t>
  </si>
  <si>
    <t>TA-ATHLETA-GSP-FINL092120</t>
  </si>
  <si>
    <t>L.00928978 - Athleta</t>
  </si>
  <si>
    <t>TA - Athena Greek Coffee &amp; Bak</t>
  </si>
  <si>
    <t>Athena Greek Coffee &amp; Bakery</t>
  </si>
  <si>
    <t>TA-ATH GRK COF-GSP 051021</t>
  </si>
  <si>
    <t>My Coffee Bar LLC</t>
  </si>
  <si>
    <t>TA - Sleep Number - GSP</t>
  </si>
  <si>
    <t>TA-SLEEPNUMBER-GSP-030920</t>
  </si>
  <si>
    <t>L.00024778 - Sleep Number by Select Comfort</t>
  </si>
  <si>
    <t>TA-Travis Matthews-ROS</t>
  </si>
  <si>
    <t>travisMathew</t>
  </si>
  <si>
    <t>TA-TRAVISMATTHEW-061621</t>
  </si>
  <si>
    <t>Travismathew, LLC</t>
  </si>
  <si>
    <t>L.00934614 - travisMathew</t>
  </si>
  <si>
    <t>00221620</t>
  </si>
  <si>
    <t>TA-See's Candies-ROS</t>
  </si>
  <si>
    <t>TA-SEE'SCANDIES-072121</t>
  </si>
  <si>
    <t>L.00091342 - See's Candies</t>
  </si>
  <si>
    <t>00222001</t>
  </si>
  <si>
    <t>TA-Harolds Chicken-CUL</t>
  </si>
  <si>
    <t>Harold's Chicken</t>
  </si>
  <si>
    <t>TA-HAROLDSCHICKEN-080321</t>
  </si>
  <si>
    <t>Harold's Chicken West Coast, LLC</t>
  </si>
  <si>
    <t>L.00933050 - Harold's Chicken</t>
  </si>
  <si>
    <t>00221930</t>
  </si>
  <si>
    <t>TA-Bras N Things-CUL</t>
  </si>
  <si>
    <t>TA-BRAS N THINGS-050421</t>
  </si>
  <si>
    <t>L.00931027 - Bras N Things</t>
  </si>
  <si>
    <t>TA-OLDNAVY-FAS-061620</t>
  </si>
  <si>
    <t>L.00926561 - Old Navy</t>
  </si>
  <si>
    <t>00211136</t>
  </si>
  <si>
    <t>TA_Biryani's by Spice_U#FC10</t>
  </si>
  <si>
    <t>TA-Kindbody-CEN</t>
  </si>
  <si>
    <t>Kindbody</t>
  </si>
  <si>
    <t>TA-KINDBODY-0511/21</t>
  </si>
  <si>
    <t>KBI Services, Inc.</t>
  </si>
  <si>
    <t>L.00931015 - Kindbody</t>
  </si>
  <si>
    <t>00215399</t>
  </si>
  <si>
    <t>TA - BrandonMallPharmacyU#673</t>
  </si>
  <si>
    <t>U.9050</t>
  </si>
  <si>
    <t>TA_C.J. Watch &amp; Jewelry_U#1277</t>
  </si>
  <si>
    <t>TA - Rodizio Grill - ANN #3</t>
  </si>
  <si>
    <t>TA-RODIZIO-ANN-070821</t>
  </si>
  <si>
    <t>L.00928876 - Rodizio Grill</t>
  </si>
  <si>
    <t>Ben Bridge</t>
  </si>
  <si>
    <t>VinFast</t>
  </si>
  <si>
    <t>Tempur</t>
  </si>
  <si>
    <t>Albion</t>
  </si>
  <si>
    <t>Knix</t>
  </si>
  <si>
    <r>
      <t>AP payment- no JE booking</t>
    </r>
    <r>
      <rPr>
        <sz val="10"/>
        <color rgb="FF0070C0"/>
        <rFont val="Arial"/>
        <family val="2"/>
      </rPr>
      <t xml:space="preserve"> - JE created in Q3. Accrue full TA as $637.4k</t>
    </r>
  </si>
  <si>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</si>
  <si>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H21</t>
  </si>
  <si>
    <t>12269 - Palm Desert</t>
  </si>
  <si>
    <t>12292 - Trumbull</t>
  </si>
  <si>
    <t>TA - Pinstripes - GSP</t>
  </si>
  <si>
    <t>Pinstripes</t>
  </si>
  <si>
    <t>TA-PINSTRIPES-1 081821</t>
  </si>
  <si>
    <t>00221912</t>
  </si>
  <si>
    <t>TA-PINSTRIPES-PG#2 090121</t>
  </si>
  <si>
    <t>Reverse TA_Philosophy</t>
  </si>
  <si>
    <t>Reverse Disposed - TA Forfeit</t>
  </si>
  <si>
    <t>ASHRESTHA</t>
  </si>
  <si>
    <t>Reverse TA_Morphe</t>
  </si>
  <si>
    <t>Disposed- TA Forfeit</t>
  </si>
  <si>
    <t>REV TA DISPOSAL 9889176</t>
  </si>
  <si>
    <t>REV TA DISPOSAL 9914913</t>
  </si>
  <si>
    <t>TA_Pinstripes_U#M17</t>
  </si>
  <si>
    <t>Q3 Fixed Asset Accruals</t>
  </si>
  <si>
    <t>TA - Aésop #1109</t>
  </si>
  <si>
    <t>00221921</t>
  </si>
  <si>
    <t>TA-BARSIENA-OOR-08242021</t>
  </si>
  <si>
    <t>TA - Bar Siena U#K001</t>
  </si>
  <si>
    <t>Q3 TA Accrual</t>
  </si>
  <si>
    <t>TA - American Eagle Outfitters</t>
  </si>
  <si>
    <t>00221209</t>
  </si>
  <si>
    <t>TA - Travis Mathew #J5</t>
  </si>
  <si>
    <t>00221854</t>
  </si>
  <si>
    <t>TA - One Medical #N10</t>
  </si>
  <si>
    <t>00221876</t>
  </si>
  <si>
    <t>TA - Bar Siena  - U#K1</t>
  </si>
  <si>
    <t>Record Tenant Allowance</t>
  </si>
  <si>
    <t>TA - Mario Tricoci Hair Salon</t>
  </si>
  <si>
    <t>TA_Chicago Dental Arts _U#420</t>
  </si>
  <si>
    <t>00222006</t>
  </si>
  <si>
    <t>Q3 2021 CAPEX Accrual</t>
  </si>
  <si>
    <t>00221906</t>
  </si>
  <si>
    <t>TA - LIT Method - UTC</t>
  </si>
  <si>
    <t>TA-LITMETHOD-UTC06/10/21</t>
  </si>
  <si>
    <t>TA - Tempur-Pedic - UTC</t>
  </si>
  <si>
    <t>Tempur-Pedic</t>
  </si>
  <si>
    <t>TA-TEMPUR-PEDIO-082421</t>
  </si>
  <si>
    <t>TA-HOOK&amp;REEL-SSH-070121</t>
  </si>
  <si>
    <t>Tenant Allowance</t>
  </si>
  <si>
    <t>Q3 2021 CAPEX ACCRUAL</t>
  </si>
  <si>
    <t>BMCMULLEN</t>
  </si>
  <si>
    <t>TA_Hook &amp; Reel Cajun_U# FSU7G</t>
  </si>
  <si>
    <t>00222013</t>
  </si>
  <si>
    <t>TA-Auntie Anne's-CEN</t>
  </si>
  <si>
    <t>TA-AUNTIE ANNE-121120</t>
  </si>
  <si>
    <t>00220755</t>
  </si>
  <si>
    <t>TA_Cha Cha Matcha_U#1625</t>
  </si>
  <si>
    <t>Comm Fee, TA &amp; Dev TA Accruals</t>
  </si>
  <si>
    <t>CAO</t>
  </si>
  <si>
    <t>00222559</t>
  </si>
  <si>
    <t>TA_Allbirds_U#1985</t>
  </si>
  <si>
    <t>00222593</t>
  </si>
  <si>
    <t>TA_Ralph Lauren_U#1945</t>
  </si>
  <si>
    <t>00222605</t>
  </si>
  <si>
    <t>TA_Rhone_U#1920</t>
  </si>
  <si>
    <t>00222606</t>
  </si>
  <si>
    <t>TA_CAMP_U#2570</t>
  </si>
  <si>
    <t>00222644</t>
  </si>
  <si>
    <t>TA_Kindbody_U#2897</t>
  </si>
  <si>
    <t>Q3 2021 TA Accruals</t>
  </si>
  <si>
    <t>TA_FP Movement_U#2925</t>
  </si>
  <si>
    <t>TA_Psycho Bunny_U#1775</t>
  </si>
  <si>
    <t>Rvs TA_Kindbody_U#2897</t>
  </si>
  <si>
    <t>Rvs Q3 2021 TA Accruals</t>
  </si>
  <si>
    <t>TA_Harolds_U#1124</t>
  </si>
  <si>
    <t>Q3 2021 TA Accrual</t>
  </si>
  <si>
    <t>SLIU</t>
  </si>
  <si>
    <t>TA - Fabletics U#163</t>
  </si>
  <si>
    <t>TA - Fabletics U# 163</t>
  </si>
  <si>
    <t>TA - travisMathew U#1059</t>
  </si>
  <si>
    <t>TA - See's Candies U#138</t>
  </si>
  <si>
    <t>TA - See's Candies U# 138</t>
  </si>
  <si>
    <t>Adj &amp; Book Q2 &amp; Q3 CAPEX Acc</t>
  </si>
  <si>
    <t>TA-Cereal Twister-TOP</t>
  </si>
  <si>
    <t>Cereal Twister</t>
  </si>
  <si>
    <t>TA-CEREAL TWISTER-080121</t>
  </si>
  <si>
    <t>00221798</t>
  </si>
  <si>
    <t>TA Louis Vuitton 183</t>
  </si>
  <si>
    <t>TA Cereal Twister 1008</t>
  </si>
  <si>
    <t>Q3 Open Notice TA</t>
  </si>
  <si>
    <t>TA It's Sugar 67</t>
  </si>
  <si>
    <t>00222495</t>
  </si>
  <si>
    <t>TA-Pickles &amp; Swiss-VIL</t>
  </si>
  <si>
    <t>TA-PICKLES&amp; SWISS-070920</t>
  </si>
  <si>
    <t>TA-Good Feet-VIL</t>
  </si>
  <si>
    <t>TA-GOOD FEET-081021</t>
  </si>
  <si>
    <t>00220762</t>
  </si>
  <si>
    <t>Rvs TA Pickle&amp;Swiss U1030</t>
  </si>
  <si>
    <t>Rvs TA Pickles&amp;Swiss</t>
  </si>
  <si>
    <t>TA Windsor Fashion</t>
  </si>
  <si>
    <t>Q3 2021 Capex Accruals</t>
  </si>
  <si>
    <t>00221908</t>
  </si>
  <si>
    <t>Rvs TA_SKSI_U#245</t>
  </si>
  <si>
    <t>Reverse TA for SKSI</t>
  </si>
  <si>
    <t>TA - Nordstrom Rack U#Z-20</t>
  </si>
  <si>
    <t>Q3'21 CAPEX Accrual</t>
  </si>
  <si>
    <t>00196860</t>
  </si>
  <si>
    <t>SEP21 ACCR-TA_Sip Fresh_U#1070</t>
  </si>
  <si>
    <t>SEP-2021 CAPEX ACCRUALS-12271</t>
  </si>
  <si>
    <t>TA-JayBirdsNashivlleHotChicken</t>
  </si>
  <si>
    <t>Jay Bird's Nashville Hot Chick</t>
  </si>
  <si>
    <t>TA-JAYBIRDS-SAN-072021</t>
  </si>
  <si>
    <t>TA-LULULEMONSAN-FN-082621</t>
  </si>
  <si>
    <t>TA_IVY SPA_U#500</t>
  </si>
  <si>
    <t>SSUN</t>
  </si>
  <si>
    <t>Cha Cha Matcha</t>
  </si>
  <si>
    <t>Allbirds</t>
  </si>
  <si>
    <t>Ralph Lauren</t>
  </si>
  <si>
    <t>Rhone</t>
  </si>
  <si>
    <t>Camp</t>
  </si>
  <si>
    <t>Plesase check if PR is approve with lease ID</t>
  </si>
  <si>
    <t>Aesop</t>
  </si>
  <si>
    <t>TravisMathew</t>
  </si>
  <si>
    <t>Crepe Legend</t>
  </si>
  <si>
    <t>It's Sugar</t>
  </si>
  <si>
    <t>The Good Feet Store</t>
  </si>
  <si>
    <t>L.00935847</t>
  </si>
  <si>
    <t>885842 - Pinstripes, Inc.</t>
  </si>
  <si>
    <t>L.00915971</t>
  </si>
  <si>
    <t>L.00923995</t>
  </si>
  <si>
    <t>L.00931702</t>
  </si>
  <si>
    <t>L.00934446</t>
  </si>
  <si>
    <t>884061 - Bar Siena Old Orchard, LLC</t>
  </si>
  <si>
    <t>L.00934940</t>
  </si>
  <si>
    <t>L.00935470</t>
  </si>
  <si>
    <t>L.00935263</t>
  </si>
  <si>
    <t>L.00088957</t>
  </si>
  <si>
    <t>L.00088246</t>
  </si>
  <si>
    <t>L.00928995</t>
  </si>
  <si>
    <t>L.00934204</t>
  </si>
  <si>
    <t>884005 - JT Ventures LLC</t>
  </si>
  <si>
    <t>L.00932386</t>
  </si>
  <si>
    <t>881063 - Tempur Retail Stores, LLC</t>
  </si>
  <si>
    <t>U.204</t>
  </si>
  <si>
    <t>873132 - Sonny Ventures LLC</t>
  </si>
  <si>
    <t>L.00317155</t>
  </si>
  <si>
    <t>L.00922974</t>
  </si>
  <si>
    <t>L.00924953</t>
  </si>
  <si>
    <t>872493 - Cajun Restaurant Bayshore LLC</t>
  </si>
  <si>
    <t>L.00932500</t>
  </si>
  <si>
    <t>L.00915991</t>
  </si>
  <si>
    <t>L.00929867</t>
  </si>
  <si>
    <t>875199 - We Are Fast, LLC</t>
  </si>
  <si>
    <t>L.00935609</t>
  </si>
  <si>
    <t>L.00935904</t>
  </si>
  <si>
    <t>L.00936367</t>
  </si>
  <si>
    <t>L.00936368</t>
  </si>
  <si>
    <t>L.00936158</t>
  </si>
  <si>
    <t>L.00931015</t>
  </si>
  <si>
    <t>L.00931574</t>
  </si>
  <si>
    <t>L.00932340</t>
  </si>
  <si>
    <t>L.00918488</t>
  </si>
  <si>
    <t>L.00933050</t>
  </si>
  <si>
    <t>L.00935273</t>
  </si>
  <si>
    <t>L.00934614</t>
  </si>
  <si>
    <t>L.00091342</t>
  </si>
  <si>
    <t>L.00932954</t>
  </si>
  <si>
    <t>880884 - Cereal Twister</t>
  </si>
  <si>
    <t>L.00934145</t>
  </si>
  <si>
    <t>L.00243731</t>
  </si>
  <si>
    <t>L.00935109</t>
  </si>
  <si>
    <t>L.00930566</t>
  </si>
  <si>
    <t>876168 - Dr's Own, Inc.</t>
  </si>
  <si>
    <t>U.267</t>
  </si>
  <si>
    <t>L.00911651</t>
  </si>
  <si>
    <t>L.00931278</t>
  </si>
  <si>
    <t>TA-Steve'sHallmarkShop-Oak</t>
  </si>
  <si>
    <t>Steve's Hallmark Shop</t>
  </si>
  <si>
    <t>880935 - Four Seasons Stores, Inc.</t>
  </si>
  <si>
    <t>TA-STEVESHALLMARK-090521</t>
  </si>
  <si>
    <t>L.00044438</t>
  </si>
  <si>
    <t>L.00934236</t>
  </si>
  <si>
    <t>884039 - Jay Bird's, LLC</t>
  </si>
  <si>
    <t>L.00934392</t>
  </si>
  <si>
    <t>884187 - lululemon USA INC.</t>
  </si>
  <si>
    <t>L.00116326</t>
  </si>
  <si>
    <t>TA - Aesop / EC Provini - GSP</t>
  </si>
  <si>
    <t>EC PROVINI CO INC</t>
  </si>
  <si>
    <t>TA-AESOP-GSP-PRG#1 081821</t>
  </si>
  <si>
    <t>TA-PINSTRIPES-GSP 093021</t>
  </si>
  <si>
    <t>TA_Panini Café_U# 1013</t>
  </si>
  <si>
    <t>00222656</t>
  </si>
  <si>
    <t>TA-FABLETICS-MON 100121</t>
  </si>
  <si>
    <t>TA - One Medical/Pacific Const</t>
  </si>
  <si>
    <t>PACIFIC CONSTRUCTION SERVICES</t>
  </si>
  <si>
    <t>TA-ONEMEDICAL/PACIFIC CON</t>
  </si>
  <si>
    <t>TA - Hui Lau Shan - SCR</t>
  </si>
  <si>
    <t>Hui Lau Shan</t>
  </si>
  <si>
    <t>TA-HUILAUSHAN-091421</t>
  </si>
  <si>
    <t>00222534</t>
  </si>
  <si>
    <t>REV TA, AD &amp; DEPR</t>
  </si>
  <si>
    <t>TA-HAIDILAO-093021</t>
  </si>
  <si>
    <t>00193246</t>
  </si>
  <si>
    <t>TA-Haidilao-CEN</t>
  </si>
  <si>
    <t>TA-HAROLDSCHIOKEN-090121</t>
  </si>
  <si>
    <t>Rev Double TA acc</t>
  </si>
  <si>
    <t>TA-LOUISVUITTON-091621#2</t>
  </si>
  <si>
    <t>TA-H&amp;M-TOP</t>
  </si>
  <si>
    <t>H&amp;M/Hennes &amp; Mauritz/H&amp;M Henne</t>
  </si>
  <si>
    <t>TA-H&amp;M-060421</t>
  </si>
  <si>
    <t>00214853</t>
  </si>
  <si>
    <t>TA- JD Finish Line U# B441</t>
  </si>
  <si>
    <t>Oct.21 FA - TA</t>
  </si>
  <si>
    <t>MGALVEZ</t>
  </si>
  <si>
    <t>00222679</t>
  </si>
  <si>
    <t>TA lululemon U#A135</t>
  </si>
  <si>
    <t>00222682</t>
  </si>
  <si>
    <t>TA Osim U# A337</t>
  </si>
  <si>
    <t>Oct.2021 FA - TA</t>
  </si>
  <si>
    <t>00222685</t>
  </si>
  <si>
    <t>TA-ColorMeMineFinal-OAK</t>
  </si>
  <si>
    <t>TA-COLORMEMINE-073121-FNL</t>
  </si>
  <si>
    <t>TA - La Dolce Vita Gelato U#U5</t>
  </si>
  <si>
    <t>Dolce Vita Gelato U#U5 TA Accr</t>
  </si>
  <si>
    <t>00222670</t>
  </si>
  <si>
    <t>TA - Valliani Jewelers U#W4</t>
  </si>
  <si>
    <t>00222687</t>
  </si>
  <si>
    <t>TA_CityWok_U#W400</t>
  </si>
  <si>
    <t>TA_CityWok_U#W400 Correction</t>
  </si>
  <si>
    <t>TA-SipFresh-PBO</t>
  </si>
  <si>
    <t>TA-SIPFRESH-PBO-022421</t>
  </si>
  <si>
    <t>TA_SolaSalon_U#2005</t>
  </si>
  <si>
    <t>00222471</t>
  </si>
  <si>
    <t>TA_Funbox_U#S6</t>
  </si>
  <si>
    <t>00222646</t>
  </si>
  <si>
    <t>TA_SmokeFireSocial_U#R5</t>
  </si>
  <si>
    <t>00222740</t>
  </si>
  <si>
    <t>TA-Windsor-VTC</t>
  </si>
  <si>
    <t>TA-WINDSOR-VLC-071921</t>
  </si>
  <si>
    <t>00221902</t>
  </si>
  <si>
    <t>TA-WINDSOR-VLC-092121</t>
  </si>
  <si>
    <t>782907 - EC PROVINI CO INC</t>
  </si>
  <si>
    <t>L.00929536</t>
  </si>
  <si>
    <t>L.00934659</t>
  </si>
  <si>
    <t>884320 - JF Retail Services, LLC</t>
  </si>
  <si>
    <t>889467 - PACIFIC CONSTRUCTION SERVICES LLC</t>
  </si>
  <si>
    <t>L.00933796</t>
  </si>
  <si>
    <t>882706 - HLS Seattle LLC</t>
  </si>
  <si>
    <t>L.00923985</t>
  </si>
  <si>
    <t>864923 - Haidilao Catering (USA), Inc.</t>
  </si>
  <si>
    <t>881081 - Harold's Chicken West Coast, LLC</t>
  </si>
  <si>
    <t>556834 - Louis Vuitton USA Inc.</t>
  </si>
  <si>
    <t>L.00282301</t>
  </si>
  <si>
    <t>644535 - H &amp; M Hennes &amp; Mauritz L.P.</t>
  </si>
  <si>
    <t>L.00934724</t>
  </si>
  <si>
    <t>L.00936167</t>
  </si>
  <si>
    <t>L.00933858</t>
  </si>
  <si>
    <t>L.00071459</t>
  </si>
  <si>
    <t>825042 - Art N Fun Studio, Inc.</t>
  </si>
  <si>
    <t>L.00936432</t>
  </si>
  <si>
    <t>L.00930567</t>
  </si>
  <si>
    <t>U.W400</t>
  </si>
  <si>
    <t>L.00933977</t>
  </si>
  <si>
    <t>A.00875579</t>
  </si>
  <si>
    <t>875579 - Frescante, LLC</t>
  </si>
  <si>
    <t>L.00936139</t>
  </si>
  <si>
    <t>L.00930730</t>
  </si>
  <si>
    <t>L.00936690</t>
  </si>
  <si>
    <t>L.00935590</t>
  </si>
  <si>
    <t>886526 - Windsor Fashions, LLC</t>
  </si>
  <si>
    <t>12290 - Sunrise</t>
  </si>
  <si>
    <t>La Dolce  Gelato</t>
  </si>
  <si>
    <t>Valliani Jewelers</t>
  </si>
  <si>
    <t>Funbox</t>
  </si>
  <si>
    <t>Smoke Fire Social</t>
  </si>
  <si>
    <t>JD Finish</t>
  </si>
  <si>
    <t>Osim</t>
  </si>
  <si>
    <t>12254 - Mission Valley West</t>
  </si>
  <si>
    <t>12306 - Wheaton North Office</t>
  </si>
  <si>
    <t>Recl TA Payable to correct BU</t>
  </si>
  <si>
    <t>12254.200330</t>
  </si>
  <si>
    <t>1 year after required opening date (1/1/2021)</t>
  </si>
  <si>
    <t>TA_Francesca's Collectio_U#311</t>
  </si>
  <si>
    <t>10-21 TA Recon Adj</t>
  </si>
  <si>
    <t>L.00919773</t>
  </si>
  <si>
    <t>00186776</t>
  </si>
  <si>
    <t>TA - Bar Siena - U#K1</t>
  </si>
  <si>
    <t>TA - Mario Tricoci U#E20</t>
  </si>
  <si>
    <t>L.00928855</t>
  </si>
  <si>
    <t>TA_Jongro_U# LLH15</t>
  </si>
  <si>
    <t>L.00932814</t>
  </si>
  <si>
    <t>TA_Thoronka Law Offices_U# 800</t>
  </si>
  <si>
    <t>L.00919663</t>
  </si>
  <si>
    <t>Duplicate TA Cleanup</t>
  </si>
  <si>
    <t xml:space="preserve">Booked in November </t>
  </si>
  <si>
    <t xml:space="preserve">12280 - Santa Anita                   </t>
  </si>
  <si>
    <t>00222802</t>
  </si>
  <si>
    <t>00222803</t>
  </si>
  <si>
    <t>00222804</t>
  </si>
  <si>
    <t>00222805</t>
  </si>
  <si>
    <t>Mack Weldon</t>
  </si>
  <si>
    <t>Naadam</t>
  </si>
  <si>
    <t>00221895</t>
  </si>
  <si>
    <t>00221177</t>
  </si>
  <si>
    <t>00222030</t>
  </si>
  <si>
    <t>El Tianguis</t>
  </si>
  <si>
    <t xml:space="preserve"> Allstate</t>
  </si>
  <si>
    <t>00222806</t>
  </si>
  <si>
    <t>00222650</t>
  </si>
  <si>
    <t>00222921</t>
  </si>
  <si>
    <t>00222795</t>
  </si>
  <si>
    <t>00222796</t>
  </si>
  <si>
    <t>00222799</t>
  </si>
  <si>
    <t>00222874</t>
  </si>
  <si>
    <t>Hanabi Cake</t>
  </si>
  <si>
    <t>Matcha Café</t>
  </si>
  <si>
    <t>Note open yet, 1 year after RCD/AR offset</t>
  </si>
  <si>
    <t>00222947</t>
  </si>
  <si>
    <t>Sydney's Burger</t>
  </si>
  <si>
    <t>200330 - Tenant Allowance Pay
Cumulative 12
Actual
2021</t>
  </si>
  <si>
    <t>00222946</t>
  </si>
  <si>
    <t>00222954</t>
  </si>
  <si>
    <t>00222955</t>
  </si>
  <si>
    <t>Showfields</t>
  </si>
  <si>
    <t>Ramen Nagi</t>
  </si>
  <si>
    <t>Café Landwer</t>
  </si>
  <si>
    <t>YSL</t>
  </si>
  <si>
    <t>RCL TA_OPS TO DEV</t>
  </si>
  <si>
    <t>00222992</t>
  </si>
  <si>
    <t>00222993</t>
  </si>
  <si>
    <t>Royce</t>
  </si>
  <si>
    <t>00220764</t>
  </si>
  <si>
    <t>Golden Goose</t>
  </si>
  <si>
    <t>00222976</t>
  </si>
  <si>
    <t>Rowan</t>
  </si>
  <si>
    <t>00221879</t>
  </si>
  <si>
    <t>Dental  Arts</t>
  </si>
  <si>
    <t>Shihlin</t>
  </si>
  <si>
    <t>00223071</t>
  </si>
  <si>
    <t>00222964</t>
  </si>
  <si>
    <t>Sweetgreen</t>
  </si>
  <si>
    <t>TA-PINSTRIPES-110221 PRG4</t>
  </si>
  <si>
    <t>Pinstripes, Inc.</t>
  </si>
  <si>
    <t>L.00935847 - Pinstripes - SHELL</t>
  </si>
  <si>
    <t>TA - Bath &amp; Body Works - SCR</t>
  </si>
  <si>
    <t>TA-BATH&amp;BODY-SCR 042821</t>
  </si>
  <si>
    <t>L.00038539 - Bath &amp; Body Works and/or White</t>
  </si>
  <si>
    <t>00221199</t>
  </si>
  <si>
    <t>TA offset</t>
  </si>
  <si>
    <t>TA-CREPE LEGEND-SCR070621</t>
  </si>
  <si>
    <t>Kung Fu Wrap LP</t>
  </si>
  <si>
    <t>L.00928995 - Crepe Legend</t>
  </si>
  <si>
    <t>TA - Crepe Legend - SCR</t>
  </si>
  <si>
    <t>TA_Aerie_U#F12</t>
  </si>
  <si>
    <t>L.00934739 - Aerie</t>
  </si>
  <si>
    <t>TA_Sydney's Burger_U# P210</t>
  </si>
  <si>
    <t>TA_SYDNEY'S BURGER_U# P210</t>
  </si>
  <si>
    <t>L.00933726 - Sydney's Burger</t>
  </si>
  <si>
    <t>TA_Virant Diagnostics_U# 404</t>
  </si>
  <si>
    <t>BROWARD WC WRITE OFF</t>
  </si>
  <si>
    <t>U.1307 - redemise into 1313</t>
  </si>
  <si>
    <t>DHEBERT</t>
  </si>
  <si>
    <t>BFOURIE</t>
  </si>
  <si>
    <t>L.00034884 - Subway</t>
  </si>
  <si>
    <t>L.00042532 - Wentworth Gallery</t>
  </si>
  <si>
    <t>L.00046638 - W Shoes</t>
  </si>
  <si>
    <t>L.00047310 - Pandora</t>
  </si>
  <si>
    <t>L.00054436 - Yogen Fruz</t>
  </si>
  <si>
    <t>L.00057924 - Love Culture</t>
  </si>
  <si>
    <t>L.00061405 - Taco Bell</t>
  </si>
  <si>
    <t>L.00066238 - Paper Thread by Papyrus</t>
  </si>
  <si>
    <t>L.00066252 - Crocs</t>
  </si>
  <si>
    <t>L.00072258 - Rio Station</t>
  </si>
  <si>
    <t>L.00334131 - Express/Express Men</t>
  </si>
  <si>
    <t>L.00904013 - Majestic Hair Boutique</t>
  </si>
  <si>
    <t>L.00906934 - Fresh Healthy Cafe</t>
  </si>
  <si>
    <t>L.00913779 - World Accessories</t>
  </si>
  <si>
    <t>L.00914652 - Hamberguesa Miami's Burger Bar</t>
  </si>
  <si>
    <t>L.00917455 - Verizon</t>
  </si>
  <si>
    <t>L.00919015 - World Accessories</t>
  </si>
  <si>
    <t>L.00926363 - Cafe Cafe</t>
  </si>
  <si>
    <t>L.00926512 - Euro Beauty Salon</t>
  </si>
  <si>
    <t>L.00927270 - Forever 21</t>
  </si>
  <si>
    <t>L.00930460 - Code Ninjas</t>
  </si>
  <si>
    <t>U.1313 - ws 1307,1309,1313,partial 1328</t>
  </si>
  <si>
    <t>U.1515 - Madison Reed</t>
  </si>
  <si>
    <t>U.1630 - P1-3/5/20; Rag &amp; Bone</t>
  </si>
  <si>
    <t>U.1701 - Journeys</t>
  </si>
  <si>
    <t>U.1720 - P1-4/6/17; Aritzia</t>
  </si>
  <si>
    <t>U.1818</t>
  </si>
  <si>
    <t>U.9020</t>
  </si>
  <si>
    <t>U.9025 - Temp. Kiosk</t>
  </si>
  <si>
    <t>U.FC07 - nka FC7</t>
  </si>
  <si>
    <t>U.FC14 - fka 0188</t>
  </si>
  <si>
    <t>U.FC2 - fka FC02</t>
  </si>
  <si>
    <t>U.FC7 - fka 2086</t>
  </si>
  <si>
    <t>TA_Lenscrafters_U#2550</t>
  </si>
  <si>
    <t>Commission Fee &amp; TA Accruals</t>
  </si>
  <si>
    <t>L.00937042 - Lenscrafters and EYEXAM-SHELL</t>
  </si>
  <si>
    <t>TA_Bearfruit Jewelry_U#9198</t>
  </si>
  <si>
    <t>L.00936290 - Bearfruit Jewelry</t>
  </si>
  <si>
    <t>TA_Mack Weldon_U#1905</t>
  </si>
  <si>
    <t>L.00936688 - Mack Weldon</t>
  </si>
  <si>
    <t>TA_Naadam_U#1867</t>
  </si>
  <si>
    <t>L.00937018 - Naadam</t>
  </si>
  <si>
    <t>Haidilao Catering (USA), Inc.</t>
  </si>
  <si>
    <t>U.2610 - Dev; P2-04/01/23</t>
  </si>
  <si>
    <t>TA - Auntie Anne's U#2760</t>
  </si>
  <si>
    <t>L.00929867 - Auntie Anne's/Cinnabon</t>
  </si>
  <si>
    <t>Rcls TA_Kindbody_U#2897</t>
  </si>
  <si>
    <t>Rcls TA Payable</t>
  </si>
  <si>
    <t>Rvs TA_Cleaning Nerds_U#LL1790</t>
  </si>
  <si>
    <t>Rvs Cleaning Nerd TA Accrual</t>
  </si>
  <si>
    <t>L.00928939 - Cleaning Nerds</t>
  </si>
  <si>
    <t>10/21 FA ADJ</t>
  </si>
  <si>
    <t>L.00282301 - H&amp;M</t>
  </si>
  <si>
    <t>YCHEN2</t>
  </si>
  <si>
    <t>TA_Peloton_U#63</t>
  </si>
  <si>
    <t>11/21 Open Notice Recon</t>
  </si>
  <si>
    <t>L.00936291 - Peloton</t>
  </si>
  <si>
    <t>TA_Ferragamo_U#1082A</t>
  </si>
  <si>
    <t>L.00933437 - Salvatore Ferragamo</t>
  </si>
  <si>
    <t>TA-ZAGG-TOP</t>
  </si>
  <si>
    <t>TA-ZAGG-2021</t>
  </si>
  <si>
    <t>Zagg SL LLC</t>
  </si>
  <si>
    <t>Balenciaga TA 10.21</t>
  </si>
  <si>
    <t>Balenciaga Standard TA</t>
  </si>
  <si>
    <t>L.00903475 - Balenciaga</t>
  </si>
  <si>
    <t>Hanabi Cakes TA 10.21</t>
  </si>
  <si>
    <t>Hanabi Cakes Standard TA</t>
  </si>
  <si>
    <t>L.00936917 - Hanabi Cakes - SHELL</t>
  </si>
  <si>
    <t>Matcha Café TA - Oct.21</t>
  </si>
  <si>
    <t>Matcha Cafe Standard TA</t>
  </si>
  <si>
    <t>L.00936481 - Matcha Cafe Maiko</t>
  </si>
  <si>
    <t>TA Dulce U#9103</t>
  </si>
  <si>
    <t>Nov.2021 FA - Dulce TA</t>
  </si>
  <si>
    <t>L.00931038 - Dulce</t>
  </si>
  <si>
    <t>L.00930566 - Good Feet Store, The</t>
  </si>
  <si>
    <t>TAP AR offset</t>
  </si>
  <si>
    <t>Mark Keen</t>
  </si>
  <si>
    <t>Terminated Lease Cleanup</t>
  </si>
  <si>
    <t>L.00929314 - 818 Mission St SF LLC</t>
  </si>
  <si>
    <t>Rvs TA_Daphne's Cali_U#297</t>
  </si>
  <si>
    <t>Clear TA Payable for Term TT</t>
  </si>
  <si>
    <t>L.00926663 - Daphne's California Greek</t>
  </si>
  <si>
    <t>TA-ElTianguis-PLB</t>
  </si>
  <si>
    <t>TA-ELTIANGUIS-090321</t>
  </si>
  <si>
    <t>El Tianguis Plaza Bonita LLC</t>
  </si>
  <si>
    <t>L.00929350 - El Tianguis</t>
  </si>
  <si>
    <t>TA_Happy Lemon_U#2483</t>
  </si>
  <si>
    <t>PBO Operating TA</t>
  </si>
  <si>
    <t>L.00934405 - Happy Lemon</t>
  </si>
  <si>
    <t>TA_Allstate_U#1058</t>
  </si>
  <si>
    <t>L.00931534 - Allstate</t>
  </si>
  <si>
    <t>TA_Under Armour_D12</t>
  </si>
  <si>
    <t>RCL-Q4 2021_TA ACCRUE</t>
  </si>
  <si>
    <t>L.00931759 - Under Armour</t>
  </si>
  <si>
    <t>00220591</t>
  </si>
  <si>
    <t>TA_Calzedonial_1223</t>
  </si>
  <si>
    <t>L.00936166 - Calzedonia Italian Legwear</t>
  </si>
  <si>
    <t>00222607</t>
  </si>
  <si>
    <t>TA_Albirds_D3</t>
  </si>
  <si>
    <t>L.00936356 - Allbirds</t>
  </si>
  <si>
    <t>00222610</t>
  </si>
  <si>
    <t>TA_Champs_1039</t>
  </si>
  <si>
    <t>L.00023257 - Champs Sports</t>
  </si>
  <si>
    <t>00223086</t>
  </si>
  <si>
    <t>TA_Pinstripes_U#M17 Reversal</t>
  </si>
  <si>
    <t>Pinstripes Allowance - GSP</t>
  </si>
  <si>
    <t>KVARDANYAN</t>
  </si>
  <si>
    <t>TA- Hui Lau Shan U#320</t>
  </si>
  <si>
    <t>TA- Hui Lau Shan U#360</t>
  </si>
  <si>
    <t>L.00933796 - Hui Lau Shan</t>
  </si>
  <si>
    <t>TA-Tillys U#2120</t>
  </si>
  <si>
    <t>Q4 2021 CAPEX Accrual</t>
  </si>
  <si>
    <t>L.00932024 - Tilly's</t>
  </si>
  <si>
    <t>TA-Royce U#580</t>
  </si>
  <si>
    <t>L.00934787 - Royce' Chocolate</t>
  </si>
  <si>
    <t>TA-Bath&amp; Body Works</t>
  </si>
  <si>
    <t>FA Cleanup Q4 2021</t>
  </si>
  <si>
    <t>TA_Rowan_U# 2508</t>
  </si>
  <si>
    <t>Q4-21 CAPEX LLW TA Accrual</t>
  </si>
  <si>
    <t>L.00936616 - Rowan</t>
  </si>
  <si>
    <t>TA_Sweetgreen U#1300</t>
  </si>
  <si>
    <t>Q4 2021 Sweetgreen TA</t>
  </si>
  <si>
    <t>L.00935119 - sweetgreen</t>
  </si>
  <si>
    <t>TA_Swarovski U#LL4310</t>
  </si>
  <si>
    <t>Q4 2021 Swarovski TA</t>
  </si>
  <si>
    <t>00222965</t>
  </si>
  <si>
    <t>Godiva Café U#137</t>
  </si>
  <si>
    <t>Godiva Café Allowance Rev</t>
  </si>
  <si>
    <t>L.00930868 - Godiva Cafe</t>
  </si>
  <si>
    <t>TA_Showfields_U#9191</t>
  </si>
  <si>
    <t>L.00937118 - Showfields New York City Miami</t>
  </si>
  <si>
    <t>TA_Ramen Nagi_U#2850</t>
  </si>
  <si>
    <t>L.00930510 - Ramen Nagi</t>
  </si>
  <si>
    <t>TA_Cafe Landwer_U#1395</t>
  </si>
  <si>
    <t>Q4 2021 TA Accrual</t>
  </si>
  <si>
    <t>L.00931305 - Cafe Landwer</t>
  </si>
  <si>
    <t>TA_Bath &amp; Body_U# D7</t>
  </si>
  <si>
    <t>Q4 2021 TA Accruals</t>
  </si>
  <si>
    <t>TA - YSL U#1050</t>
  </si>
  <si>
    <t>L.00934916 - Saint Laurent</t>
  </si>
  <si>
    <t>00221794</t>
  </si>
  <si>
    <t>TA - Tory Burch U#1185</t>
  </si>
  <si>
    <t>Reverse Expired TA</t>
  </si>
  <si>
    <t>L.00925441 - Tory Burch</t>
  </si>
  <si>
    <t>00195297</t>
  </si>
  <si>
    <t>TA - Lego U#116</t>
  </si>
  <si>
    <t>L.00924877 - Lego</t>
  </si>
  <si>
    <t>00196440</t>
  </si>
  <si>
    <t>TA - Gucci U#1067</t>
  </si>
  <si>
    <t>L.00936482 - Gucci</t>
  </si>
  <si>
    <t>00222666</t>
  </si>
  <si>
    <t>TA Golden Goose U#1082E</t>
  </si>
  <si>
    <t>Q4 TA Accr</t>
  </si>
  <si>
    <t>L.00932838 - Golden Goose, Golden Goose Del</t>
  </si>
  <si>
    <t>Sunglass Hut Reclass</t>
  </si>
  <si>
    <t>Q4 21 FA Corr./Adjs</t>
  </si>
  <si>
    <t>L.00926028 - Sunglass Hut</t>
  </si>
  <si>
    <t>00196439</t>
  </si>
  <si>
    <t>Shihlin TA accr.</t>
  </si>
  <si>
    <t>L.00933873 - Shihlin</t>
  </si>
  <si>
    <t>Reverse Dulce TA 2x</t>
  </si>
  <si>
    <t>Reverse Batch 9962462</t>
  </si>
  <si>
    <t>Reverse Q2 EntryB/9888768</t>
  </si>
  <si>
    <t>Fixed Asset Acct Clean Up</t>
  </si>
  <si>
    <t>TA Payable_Claire's_#U85</t>
  </si>
  <si>
    <t>TA Payable_Sugarfina_#U206</t>
  </si>
  <si>
    <t>TA_Spectrum Reclass_#U135</t>
  </si>
  <si>
    <t>Capex FA Reclass</t>
  </si>
  <si>
    <t>L.00932417 - Spectrum</t>
  </si>
  <si>
    <t>00222597</t>
  </si>
  <si>
    <t>TA_The Children's Place</t>
  </si>
  <si>
    <t>TA-Children's Place_ U#2520</t>
  </si>
  <si>
    <t>L.00931606 - Children's Place, The</t>
  </si>
  <si>
    <t>TA_Dental Arts_U#160</t>
  </si>
  <si>
    <t>L.00932052 - Town Center Dental Arts</t>
  </si>
  <si>
    <t>TA_Window Fashions U#2020</t>
  </si>
  <si>
    <t>TA_Windsor Fashions-U#2020</t>
  </si>
  <si>
    <t>L.00935590 - Windsor or Windsor Fashions</t>
  </si>
  <si>
    <t>12234 - Galleria at Roseville</t>
  </si>
  <si>
    <t>12297 - Valley Fair</t>
  </si>
  <si>
    <t>12211 - Century City</t>
  </si>
  <si>
    <t>12267 - Old Orchard</t>
  </si>
  <si>
    <t>Calzedonial</t>
  </si>
  <si>
    <t>Rcls TAP AR Offset</t>
  </si>
  <si>
    <t>Rcls Haidilao TAP AR Offset</t>
  </si>
  <si>
    <t>12255 - Montgomery</t>
  </si>
  <si>
    <t>12204 - Annapolis</t>
  </si>
  <si>
    <t>12229 - Fashion Square</t>
  </si>
  <si>
    <t>`12235</t>
  </si>
  <si>
    <t xml:space="preserve">Eddie V's </t>
  </si>
  <si>
    <t>Accrued with Asset# 222993 - Reclass Needed</t>
  </si>
  <si>
    <t>Paid with Asset# 221202 - Reclass Needed</t>
  </si>
  <si>
    <t>AR Offset needed</t>
  </si>
  <si>
    <t>00222924</t>
  </si>
  <si>
    <t>TA - Seasons 52 - GSP</t>
  </si>
  <si>
    <t>TA-SEASONS52-110521</t>
  </si>
  <si>
    <t>Eddie V's Holdings, LLC</t>
  </si>
  <si>
    <t>L.00931017 - Seasons 52</t>
  </si>
  <si>
    <t>00222865</t>
  </si>
  <si>
    <t>TA - Eddie V's - GSP</t>
  </si>
  <si>
    <t>Eddie V's/Eddie V's Prime Seaf</t>
  </si>
  <si>
    <t>TA-EDDIEVS-110521</t>
  </si>
  <si>
    <t>L.00930738 - Eddie V's/Eddie V's Prime Seaf</t>
  </si>
  <si>
    <t>00221202</t>
  </si>
  <si>
    <t>TA - Royce' - SCR</t>
  </si>
  <si>
    <t>Royce' Chocolate</t>
  </si>
  <si>
    <t>TA-ROYCE-SCR-111021</t>
  </si>
  <si>
    <t>Joii Inc.</t>
  </si>
  <si>
    <t>TA - Hook &amp; Reel - WHE</t>
  </si>
  <si>
    <t>Hook &amp; Reel Cajun Seafood and</t>
  </si>
  <si>
    <t>TA-HOOK&amp;REEL-WHE-080921</t>
  </si>
  <si>
    <t>Cajun Seafood Wheaton LLC</t>
  </si>
  <si>
    <t>L.00932500 - Hook &amp; Reel Cajun Seafood</t>
  </si>
  <si>
    <t>TA-WINDSOR-092021</t>
  </si>
  <si>
    <t>L.00929490 - Windsor or Windsor Fashions</t>
  </si>
  <si>
    <t>TA-Windsor-CUL</t>
  </si>
  <si>
    <t>TA-Bath and Body-CUL</t>
  </si>
  <si>
    <t>TA-BATHANDBODY-042821</t>
  </si>
  <si>
    <t>TA Gucci ROS</t>
  </si>
  <si>
    <t>TA-GUCCI-110121</t>
  </si>
  <si>
    <t>Gucci America, Inc.</t>
  </si>
  <si>
    <t>TA-YSL-TOP</t>
  </si>
  <si>
    <t>YSL/Yves Saint Laurent/'Saint</t>
  </si>
  <si>
    <t>TA-YSL-112320</t>
  </si>
  <si>
    <t>Yves Saint Laurent America, Inc.</t>
  </si>
  <si>
    <t>TA Lululemon VLF</t>
  </si>
  <si>
    <t>TA-LULULEMON-100621</t>
  </si>
  <si>
    <t>lululemon USA INC.</t>
  </si>
  <si>
    <t>L.00936167 - lululemon</t>
  </si>
  <si>
    <t>TA - Psycho Bunny - GSP</t>
  </si>
  <si>
    <t>TA-PSYCHOBUNNY-GSP 092121</t>
  </si>
  <si>
    <t>L.00933910 - Psycho Bunny</t>
  </si>
  <si>
    <t>00222673</t>
  </si>
  <si>
    <t>TA_Eddie V's_U# A8A</t>
  </si>
  <si>
    <t>GSP TA</t>
  </si>
  <si>
    <t>TA_Seasons 52_ U# A14</t>
  </si>
  <si>
    <t>TA - Tilly's - SCR</t>
  </si>
  <si>
    <t>TA-TILLY'S-SCR 100121</t>
  </si>
  <si>
    <t>TA Allbirds CEN</t>
  </si>
  <si>
    <t>allbirds</t>
  </si>
  <si>
    <t>TA-AIIBIRDS-110521</t>
  </si>
  <si>
    <t>Allbirds, Inc.</t>
  </si>
  <si>
    <t>L.00935904 - allbirds</t>
  </si>
  <si>
    <t>TA-ALLBIRDS-113021</t>
  </si>
  <si>
    <t>TA-Madison Reed-VIL</t>
  </si>
  <si>
    <t>Madison Reed</t>
  </si>
  <si>
    <t>TA-MADISON REED-111021</t>
  </si>
  <si>
    <t>Madison Reed Color Bar III, LLC</t>
  </si>
  <si>
    <t>TA-Windsor-FAS</t>
  </si>
  <si>
    <t>TA-WINDSOR-FAS-081121</t>
  </si>
  <si>
    <t>U.0267 - fka N267; nka 267</t>
  </si>
  <si>
    <t>TA-Spectrum-FAS</t>
  </si>
  <si>
    <t>TA-SPECTRUM-102721</t>
  </si>
  <si>
    <t>Spectrum Pacific West, LLC</t>
  </si>
  <si>
    <t>TA-PressedJuicery-SAN</t>
  </si>
  <si>
    <t>Pressed Juicery or Pressed</t>
  </si>
  <si>
    <t>TA-PRESSEDJUIOERY-073021</t>
  </si>
  <si>
    <t>Pressed Juicery, Inc.</t>
  </si>
  <si>
    <t>TA-TheChildrensPlace-VLC</t>
  </si>
  <si>
    <t>TA-CHILDRENSPLACE-051421</t>
  </si>
  <si>
    <t>Children's Place, Inc., The</t>
  </si>
  <si>
    <t>AP  payment JE missing</t>
  </si>
  <si>
    <t>2  year after RCD</t>
  </si>
  <si>
    <t>18 months following remodel completion date</t>
  </si>
  <si>
    <t>2 1/2 year after RCD</t>
  </si>
  <si>
    <t>18 months after RCD</t>
  </si>
  <si>
    <t>Bearfruit Jewelry</t>
  </si>
  <si>
    <t>Amendment#2 -expiration date 2/15/22</t>
  </si>
  <si>
    <t>Mein 3D</t>
  </si>
  <si>
    <t>lease terminate Jun 2021?</t>
  </si>
  <si>
    <t>M17</t>
  </si>
  <si>
    <t>A8A</t>
  </si>
  <si>
    <t>W/O balance?</t>
  </si>
  <si>
    <t>FSU1G</t>
  </si>
  <si>
    <t>check with leasing on expiration date</t>
  </si>
  <si>
    <t>X26</t>
  </si>
  <si>
    <t>W4</t>
  </si>
  <si>
    <t>1 years after RCD</t>
  </si>
  <si>
    <t>1 year afer RCD</t>
  </si>
  <si>
    <t>2 year afer RCD</t>
  </si>
  <si>
    <t>TA - Havana Grill - MVC</t>
  </si>
  <si>
    <t>Havana Grill</t>
  </si>
  <si>
    <t>TA-HAVANA GRILL-MVC120921</t>
  </si>
  <si>
    <t>Havana Grill Group MVC, Inc.</t>
  </si>
  <si>
    <t>L.00935175 - Havana Grill</t>
  </si>
  <si>
    <t>00221775</t>
  </si>
  <si>
    <t>TA - American Eagle and/or Aer</t>
  </si>
  <si>
    <t>GL Reclass 12/28/2021</t>
  </si>
  <si>
    <t>L.00934940 - Aerie</t>
  </si>
  <si>
    <t>GTSE2</t>
  </si>
  <si>
    <t>AP payment missing JE</t>
  </si>
  <si>
    <t>TA-PINSTRIPES-123121-P#5</t>
  </si>
  <si>
    <t>TA-PINSTRIPERS-GSP#611022</t>
  </si>
  <si>
    <t>00221201</t>
  </si>
  <si>
    <t>TA - Mochinut - SCR</t>
  </si>
  <si>
    <t>TA-MOCHINUT-SCR 121321</t>
  </si>
  <si>
    <t>Salt &amp; Light South LLC</t>
  </si>
  <si>
    <t>L.00934836 - Mochinut</t>
  </si>
  <si>
    <t>U.588 - fka E588; Crepe Legend</t>
  </si>
  <si>
    <t>00223565</t>
  </si>
  <si>
    <t>TA-Popeyes U#FC8</t>
  </si>
  <si>
    <t>L.00937941 - Popeye's C - SHELL/Unitoverlap</t>
  </si>
  <si>
    <t>U.9034</t>
  </si>
  <si>
    <t>TA - RETRO FITNESS - ANN  (ADD</t>
  </si>
  <si>
    <t>TA-RETROFITNES-ANN-120521</t>
  </si>
  <si>
    <t>00223550</t>
  </si>
  <si>
    <t>TA_Live Arts Maryland_U# 1810</t>
  </si>
  <si>
    <t>L.00933709 - Live Arts Maryland</t>
  </si>
  <si>
    <t>TA - AMERICAN EAGLE OUTFITTERS</t>
  </si>
  <si>
    <t>aerie</t>
  </si>
  <si>
    <t>TA-AMEREAGAERI-SSH-102021</t>
  </si>
  <si>
    <t>AE Outfitters Retail Co.</t>
  </si>
  <si>
    <t>00223558</t>
  </si>
  <si>
    <t>TA - Rue 21 - SSH</t>
  </si>
  <si>
    <t>TA-RUE21-SSH-123021</t>
  </si>
  <si>
    <t>New rue21, LLC</t>
  </si>
  <si>
    <t>L.00071292 - rue21 etc!</t>
  </si>
  <si>
    <t>L.00936158 - CAMP</t>
  </si>
  <si>
    <t>00223135</t>
  </si>
  <si>
    <t>TA_Pudu Pudu_U#2625</t>
  </si>
  <si>
    <t>L.00932430 - Pudu Pudu - Pudding Makers</t>
  </si>
  <si>
    <t>TA-Cafe Landwer-CEN</t>
  </si>
  <si>
    <t>Cafe Landwer</t>
  </si>
  <si>
    <t>TA-CAFE LANDWER-102721</t>
  </si>
  <si>
    <t>Beverly Hills Cafe Inc.</t>
  </si>
  <si>
    <t>TA-CAMP-CEN</t>
  </si>
  <si>
    <t>CAMP</t>
  </si>
  <si>
    <t>TA-CAMP-120721</t>
  </si>
  <si>
    <t>Camp Stores LA LLC</t>
  </si>
  <si>
    <t>TA Rhone CEN</t>
  </si>
  <si>
    <t>TA-RHONE-120821</t>
  </si>
  <si>
    <t>Rhone Retail USA, LLC</t>
  </si>
  <si>
    <t>L.00936368 - Rhone</t>
  </si>
  <si>
    <t>00221752</t>
  </si>
  <si>
    <t>TA-Little Kitchen Academy-CEN</t>
  </si>
  <si>
    <t>Little Kitchen Academy</t>
  </si>
  <si>
    <t>TA-LITTLE KITCHEN-102921</t>
  </si>
  <si>
    <t>Little Kitchen Academy Century City LLC</t>
  </si>
  <si>
    <t>L.00934720 - Little Kitchen Academy</t>
  </si>
  <si>
    <t>TA - Bearfruit - CEN</t>
  </si>
  <si>
    <t>TA BEARFRUIT-120321</t>
  </si>
  <si>
    <t>Amnisflux LLC</t>
  </si>
  <si>
    <t>TA-Showfields-CEN</t>
  </si>
  <si>
    <t>Showfields - New York City Mia</t>
  </si>
  <si>
    <t>TA-SHOWFIELDS-112321</t>
  </si>
  <si>
    <t>Showfields Magic Box LLC</t>
  </si>
  <si>
    <t>00223575</t>
  </si>
  <si>
    <t>TA_Chanel_U#1870</t>
  </si>
  <si>
    <t>TA Accrual</t>
  </si>
  <si>
    <t>L.00937864 - Chanel - SHELL</t>
  </si>
  <si>
    <t>00221746</t>
  </si>
  <si>
    <t>TA-Savage-CUL</t>
  </si>
  <si>
    <t>Savage X-Fenty</t>
  </si>
  <si>
    <t>TA-SAVAGEX-120821</t>
  </si>
  <si>
    <t>Savage X Retail, LLC</t>
  </si>
  <si>
    <t>L.00935112 - Savage X-Fenty</t>
  </si>
  <si>
    <t>00221747</t>
  </si>
  <si>
    <t>TA-Shake Shack-CUL</t>
  </si>
  <si>
    <t>TA-SHAKESHACK-010722</t>
  </si>
  <si>
    <t>L.00934276 - Shake Shack</t>
  </si>
  <si>
    <t>TA-FABLETICS-061621</t>
  </si>
  <si>
    <t>L.00935273 - Fabletics</t>
  </si>
  <si>
    <t>00223128</t>
  </si>
  <si>
    <t>TA_Zero&amp;, Hanabi Cakes U#14</t>
  </si>
  <si>
    <t>L.00937074 - Zero&amp;, 0&amp;, Hanabi,Hanabi</t>
  </si>
  <si>
    <t>JILEE</t>
  </si>
  <si>
    <t>TA Reversal_Asset#220738_U209</t>
  </si>
  <si>
    <t>00216335</t>
  </si>
  <si>
    <t>TA-Oak+Fort-SFC</t>
  </si>
  <si>
    <t>TA-OAK AND FORT-031621</t>
  </si>
  <si>
    <t>Oak &amp; Fort California, LLC</t>
  </si>
  <si>
    <t>L.00929988 - Oak + Fort</t>
  </si>
  <si>
    <t>TA-LOUIS VUITTON-120121#3</t>
  </si>
  <si>
    <t>TA-LULULEMON-112521#FINAL</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</si>
  <si>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</si>
  <si>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</si>
  <si>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</si>
  <si>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</si>
  <si>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</si>
  <si>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</si>
  <si>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</si>
  <si>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</si>
  <si>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</si>
  <si>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</si>
  <si>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</si>
  <si>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</si>
  <si>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</si>
  <si>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</si>
  <si>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</si>
  <si>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</si>
  <si>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</si>
  <si>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</si>
  <si>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</si>
  <si>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</si>
  <si>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</si>
  <si>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TA_Lovesac_U#224</t>
  </si>
  <si>
    <t>L.00064479 - Lovesac</t>
  </si>
  <si>
    <t>00223115</t>
  </si>
  <si>
    <t>00223138</t>
  </si>
  <si>
    <t>TA_Just Hats_U# Y4</t>
  </si>
  <si>
    <t>L.00934759 - Just Hats</t>
  </si>
  <si>
    <t>00223141</t>
  </si>
  <si>
    <t>TA_PhenixSalonSuites_U#Q3</t>
  </si>
  <si>
    <t>L.00937586 - Phenix Salon Suites- SHELL ID</t>
  </si>
  <si>
    <t>00223552</t>
  </si>
  <si>
    <t>TA_Slaters50/50_U#R4</t>
  </si>
  <si>
    <t>L.00936188 - Slaters 50/50</t>
  </si>
  <si>
    <t>00223095</t>
  </si>
  <si>
    <t>TA_KrispyRice_U#2220</t>
  </si>
  <si>
    <t>L.00937238 - Krispy Rice - SHELL</t>
  </si>
  <si>
    <t>00223096</t>
  </si>
  <si>
    <t>TA_Fabletics_U#D6A</t>
  </si>
  <si>
    <t>L.00937019 - Fabletics - SHELL</t>
  </si>
  <si>
    <t>00223543</t>
  </si>
  <si>
    <t>TA_Valliani Jewelers_U#T56</t>
  </si>
  <si>
    <t>L.00937587 - Valliani Jewelers</t>
  </si>
  <si>
    <t>00219748</t>
  </si>
  <si>
    <t>TA - Coach U# D10</t>
  </si>
  <si>
    <t>Tenant Allowance JE SAN</t>
  </si>
  <si>
    <t>L.00930400 - Coach</t>
  </si>
  <si>
    <t>00223114</t>
  </si>
  <si>
    <t>TA_POPEYES Chicken</t>
  </si>
  <si>
    <t>Popeye's Chicken. U#FC8</t>
  </si>
  <si>
    <t>L.00937656 - Popeye's Chicken &amp; Biscuits</t>
  </si>
  <si>
    <t>200330 - Tenant Allowance Pay
Cumulative 1
Actual
2022</t>
  </si>
  <si>
    <t>Miochinut</t>
  </si>
  <si>
    <t>FC8</t>
  </si>
  <si>
    <t>Live Arts Marylands</t>
  </si>
  <si>
    <t xml:space="preserve">Rue 21 </t>
  </si>
  <si>
    <t>JE needed to offset payment</t>
  </si>
  <si>
    <t>Pudu Pudu</t>
  </si>
  <si>
    <t>Chanel</t>
  </si>
  <si>
    <t>Savage</t>
  </si>
  <si>
    <t>Zero &amp; Hanabi Cakes</t>
  </si>
  <si>
    <t>Nich The Greek</t>
  </si>
  <si>
    <t>Christian Louboutin</t>
  </si>
  <si>
    <t>Ellamia</t>
  </si>
  <si>
    <t xml:space="preserve">Popeye's Chicken </t>
  </si>
  <si>
    <t xml:space="preserve"> Jell &amp; Chill</t>
  </si>
  <si>
    <t>Just Hats</t>
  </si>
  <si>
    <t>Y4</t>
  </si>
  <si>
    <t>Q3</t>
  </si>
  <si>
    <t>D6A</t>
  </si>
  <si>
    <t>T56</t>
  </si>
  <si>
    <t>KrispyRice</t>
  </si>
  <si>
    <t>BOT Status</t>
  </si>
  <si>
    <t>Lease begin date</t>
  </si>
  <si>
    <t>Critical date Updated successfully</t>
  </si>
  <si>
    <t>Date is not expired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</si>
</sst>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yyyy"/>
    <numFmt numFmtId="165" formatCode="#,##0.00;\(#,##0.00\)"/>
    <numFmt numFmtId="166" formatCode="[$-F800]dddd\,\ mmmm\ dd\,\ yyyy"/>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2"/>
      <name val="Arial"/>
      <family val="2"/>
    </font>
    <font>
      <b/>
      <sz val="10"/>
      <name val="Arial"/>
      <family val="2"/>
    </font>
    <font>
      <sz val="11"/>
      <name val="Arial"/>
      <family val="2"/>
    </font>
    <font>
      <b/>
      <sz val="11"/>
      <color indexed="10"/>
      <name val="Arial"/>
      <family val="2"/>
    </font>
    <font>
      <sz val="10"/>
      <name val="Arial"/>
      <family val="2"/>
    </font>
    <font>
      <b/>
      <sz val="11"/>
      <name val="Arial"/>
      <family val="2"/>
    </font>
    <font>
      <sz val="11"/>
      <color theme="1"/>
      <name val="Calibri"/>
      <family val="2"/>
      <scheme val="minor"/>
    </font>
    <font>
      <sz val="10"/>
      <color theme="1"/>
      <name val="Arial"/>
      <family val="2"/>
    </font>
    <font>
      <sz val="10"/>
      <color rgb="FFFFFFFF"/>
      <name val="Arial"/>
      <family val="2"/>
    </font>
    <font>
      <sz val="10"/>
      <color rgb="FF0000FF"/>
      <name val="Arial"/>
      <family val="2"/>
    </font>
    <font>
      <sz val="11"/>
      <color rgb="FF0000FF"/>
      <name val="Arial"/>
      <family val="2"/>
    </font>
    <font>
      <b/>
      <sz val="10"/>
      <color rgb="FF0000FF"/>
      <name val="Arial"/>
      <family val="2"/>
    </font>
    <font>
      <b/>
      <sz val="11"/>
      <color rgb="FFFFFFFF"/>
      <name val="Arial"/>
      <family val="2"/>
    </font>
    <font>
      <sz val="8"/>
      <name val="Microsoft Sans Serif"/>
      <family val="2"/>
    </font>
    <font>
      <sz val="10"/>
      <color indexed="8"/>
      <name val="Arial"/>
      <family val="2"/>
    </font>
    <font>
      <sz val="10"/>
      <color indexed="8"/>
      <name val="Arial"/>
      <family val="2"/>
    </font>
    <font>
      <b/>
      <sz val="8"/>
      <color rgb="FF000000"/>
      <name val="Microsoft Sans Serif"/>
      <family val="2"/>
    </font>
    <font>
      <b/>
      <sz val="10"/>
      <color theme="0"/>
      <name val="Arial"/>
      <family val="2"/>
    </font>
    <font>
      <sz val="10"/>
      <color theme="0"/>
      <name val="Arial"/>
      <family val="2"/>
    </font>
    <font>
      <sz val="8"/>
      <name val="Microsoft Sans Serif"/>
      <family val="2"/>
    </font>
    <font>
      <sz val="10"/>
      <name val="Arial"/>
      <family val="2"/>
    </font>
    <font>
      <sz val="10"/>
      <color indexed="8"/>
      <name val="Arial"/>
      <family val="2"/>
    </font>
    <font>
      <sz val="10"/>
      <color indexed="8"/>
      <name val="Arial"/>
      <family val="2"/>
    </font>
    <font>
      <sz val="8"/>
      <color rgb="FFFF0000"/>
      <name val="Microsoft Sans Serif"/>
      <family val="2"/>
    </font>
    <font>
      <sz val="8"/>
      <color rgb="FF000000"/>
      <name val="Microsoft Sans Serif"/>
      <family val="2"/>
    </font>
    <font>
      <b/>
      <sz val="8"/>
      <color rgb="FFFF0000"/>
      <name val="Microsoft Sans Serif"/>
      <family val="2"/>
    </font>
    <font>
      <u/>
      <sz val="10"/>
      <color theme="10"/>
      <name val="Arial"/>
      <family val="2"/>
    </font>
    <font>
      <sz val="10"/>
      <color rgb="FFFF0000"/>
      <name val="Arial"/>
      <family val="2"/>
    </font>
    <font>
      <sz val="10"/>
      <color rgb="FF0070C0"/>
      <name val="Arial"/>
      <family val="2"/>
    </font>
    <font>
      <sz val="10"/>
      <color rgb="FF0000FF"/>
      <name val="Arial7"/>
    </font>
    <font>
      <b/>
      <sz val="11"/>
      <color rgb="FF21364A"/>
      <name val="Tahoma"/>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rgb="FFFFFFFF"/>
        <bgColor indexed="64"/>
      </patternFill>
    </fill>
    <fill>
      <patternFill patternType="solid">
        <fgColor indexed="6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79998168889431442"/>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808080"/>
      </right>
      <top style="thin">
        <color rgb="FF808080"/>
      </top>
      <bottom/>
      <diagonal/>
    </border>
    <border>
      <left style="thin">
        <color indexed="64"/>
      </left>
      <right style="thin">
        <color indexed="64"/>
      </right>
      <top style="thin">
        <color indexed="64"/>
      </top>
      <bottom/>
      <diagonal/>
    </border>
  </borders>
  <cellStyleXfs count="56">
    <xf numFmtId="166" fontId="0" fillId="0" borderId="0"/>
    <xf numFmtId="43" fontId="4" fillId="0" borderId="0" applyFont="0" applyFill="0" applyBorder="0" applyAlignment="0" applyProtection="0"/>
    <xf numFmtId="43" fontId="10" fillId="0" borderId="0" applyFont="0" applyFill="0" applyBorder="0" applyAlignment="0" applyProtection="0"/>
    <xf numFmtId="43" fontId="12" fillId="0" borderId="0" applyFont="0" applyFill="0" applyBorder="0" applyAlignment="0" applyProtection="0"/>
    <xf numFmtId="166" fontId="6" fillId="0" borderId="1" applyNumberFormat="0" applyAlignment="0" applyProtection="0">
      <alignment horizontal="left" vertical="center"/>
    </xf>
    <xf numFmtId="166" fontId="6" fillId="0" borderId="2">
      <alignment horizontal="left" vertical="center"/>
    </xf>
    <xf numFmtId="166" fontId="13" fillId="0" borderId="0"/>
    <xf numFmtId="166" fontId="5" fillId="0" borderId="0">
      <alignment vertical="center"/>
    </xf>
    <xf numFmtId="166" fontId="12" fillId="0" borderId="0"/>
    <xf numFmtId="166" fontId="4" fillId="0" borderId="0"/>
    <xf numFmtId="166" fontId="5" fillId="0" borderId="0"/>
    <xf numFmtId="166" fontId="4" fillId="0" borderId="0">
      <alignment vertical="center"/>
    </xf>
    <xf numFmtId="166" fontId="20" fillId="0" borderId="0">
      <alignment vertical="top"/>
    </xf>
    <xf numFmtId="166" fontId="3" fillId="0" borderId="0"/>
    <xf numFmtId="43" fontId="3" fillId="0" borderId="0" applyFont="0" applyFill="0" applyBorder="0" applyAlignment="0" applyProtection="0"/>
    <xf numFmtId="166" fontId="21" fillId="0" borderId="0">
      <alignment vertical="top"/>
    </xf>
    <xf numFmtId="166" fontId="4" fillId="0" borderId="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166" fontId="4" fillId="0" borderId="0">
      <alignment vertical="center"/>
    </xf>
    <xf numFmtId="166" fontId="4" fillId="0" borderId="0">
      <alignment vertical="center"/>
    </xf>
    <xf numFmtId="166" fontId="2" fillId="0" borderId="0"/>
    <xf numFmtId="166" fontId="2" fillId="0" borderId="0"/>
    <xf numFmtId="166" fontId="2" fillId="0" borderId="0"/>
    <xf numFmtId="166" fontId="2" fillId="0" borderId="0"/>
    <xf numFmtId="166" fontId="4" fillId="0" borderId="0"/>
    <xf numFmtId="166" fontId="2" fillId="0" borderId="0"/>
    <xf numFmtId="166" fontId="26" fillId="0" borderId="0">
      <alignment vertical="center"/>
    </xf>
    <xf numFmtId="166" fontId="1" fillId="0" borderId="0"/>
    <xf numFmtId="166" fontId="27" fillId="0" borderId="0">
      <alignment vertical="top"/>
    </xf>
    <xf numFmtId="166" fontId="28" fillId="0" borderId="0">
      <alignment vertical="top"/>
    </xf>
    <xf numFmtId="166" fontId="32" fillId="0" borderId="0" applyNumberFormat="0" applyFill="0" applyBorder="0" applyAlignment="0" applyProtection="0"/>
    <xf numFmtId="0" fontId="20" fillId="0" borderId="0">
      <alignment vertical="top"/>
    </xf>
    <xf numFmtId="0" fontId="4"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cellStyleXfs>
  <cellXfs count="276">
    <xf numFmtId="166" fontId="0" fillId="0" borderId="0" xfId="0"/>
    <xf numFmtId="166" fontId="7" fillId="0" borderId="0" xfId="0" applyFont="1"/>
    <xf numFmtId="166" fontId="8" fillId="0" borderId="0" xfId="0" applyFont="1"/>
    <xf numFmtId="166" fontId="8" fillId="0" borderId="4" xfId="9" applyFont="1" applyBorder="1" applyAlignment="1">
      <alignment horizontal="left"/>
    </xf>
    <xf numFmtId="14" fontId="0" fillId="0" borderId="0" xfId="0" applyNumberFormat="1"/>
    <xf numFmtId="166" fontId="0" fillId="0" borderId="0" xfId="0" applyFill="1"/>
    <xf numFmtId="166" fontId="4" fillId="0" borderId="0" xfId="0" applyFont="1" applyFill="1"/>
    <xf numFmtId="14" fontId="4" fillId="0" borderId="0" xfId="0" applyNumberFormat="1" applyFont="1" applyFill="1"/>
    <xf numFmtId="39" fontId="4" fillId="0" borderId="0" xfId="0" applyNumberFormat="1" applyFont="1" applyFill="1"/>
    <xf numFmtId="166" fontId="4" fillId="0" borderId="0" xfId="0" applyFont="1"/>
    <xf numFmtId="49" fontId="0" fillId="0" borderId="0" xfId="0" applyNumberFormat="1"/>
    <xf numFmtId="43" fontId="0" fillId="0" borderId="0" xfId="1" applyFont="1"/>
    <xf numFmtId="166" fontId="4" fillId="0" borderId="0" xfId="0" applyFont="1" applyFill="1" applyAlignment="1">
      <alignment horizontal="right"/>
    </xf>
    <xf numFmtId="39" fontId="4" fillId="0" borderId="0" xfId="0" applyNumberFormat="1" applyFont="1" applyFill="1" applyAlignment="1">
      <alignment wrapText="1"/>
    </xf>
    <xf numFmtId="43" fontId="0" fillId="0" borderId="0" xfId="1" applyFont="1" applyFill="1"/>
    <xf numFmtId="14" fontId="4" fillId="0" borderId="0" xfId="0" applyNumberFormat="1" applyFont="1" applyFill="1" applyAlignment="1">
      <alignment horizontal="right"/>
    </xf>
    <xf numFmtId="166" fontId="5" fillId="0" borderId="0" xfId="0" applyFont="1" applyFill="1"/>
    <xf numFmtId="166" fontId="5" fillId="0" borderId="0" xfId="0" applyFont="1"/>
    <xf numFmtId="49" fontId="5" fillId="0" borderId="0" xfId="0" applyNumberFormat="1" applyFont="1" applyFill="1"/>
    <xf numFmtId="14" fontId="0" fillId="0" borderId="0" xfId="0" applyNumberFormat="1" applyAlignment="1">
      <alignment horizontal="right"/>
    </xf>
    <xf numFmtId="166" fontId="7" fillId="0" borderId="3" xfId="0" applyFont="1" applyFill="1" applyBorder="1"/>
    <xf numFmtId="14" fontId="5" fillId="0" borderId="0" xfId="0" applyNumberFormat="1" applyFont="1" applyFill="1"/>
    <xf numFmtId="166" fontId="0" fillId="0" borderId="0" xfId="0" applyNumberFormat="1"/>
    <xf numFmtId="166" fontId="0" fillId="0" borderId="0" xfId="0" applyNumberFormat="1" applyAlignment="1">
      <alignment horizontal="right"/>
    </xf>
    <xf numFmtId="166" fontId="5" fillId="0" borderId="0" xfId="0" applyNumberFormat="1" applyFont="1" applyFill="1" applyAlignment="1">
      <alignment horizontal="right"/>
    </xf>
    <xf numFmtId="39" fontId="5" fillId="0" borderId="0" xfId="0" applyNumberFormat="1" applyFont="1" applyFill="1" applyAlignment="1">
      <alignment wrapText="1"/>
    </xf>
    <xf numFmtId="14" fontId="5" fillId="0" borderId="0" xfId="0" applyNumberFormat="1" applyFont="1" applyFill="1" applyAlignment="1">
      <alignment horizontal="right"/>
    </xf>
    <xf numFmtId="14" fontId="0" fillId="0" borderId="0" xfId="0" applyNumberFormat="1" applyFill="1" applyAlignment="1">
      <alignment horizontal="right"/>
    </xf>
    <xf numFmtId="166" fontId="8" fillId="0" borderId="8" xfId="9" applyFont="1" applyFill="1" applyBorder="1" applyAlignment="1"/>
    <xf numFmtId="166" fontId="8" fillId="0" borderId="6" xfId="9" applyFont="1" applyFill="1" applyBorder="1"/>
    <xf numFmtId="166" fontId="8" fillId="0" borderId="8" xfId="9" applyFont="1" applyFill="1" applyBorder="1"/>
    <xf numFmtId="166" fontId="8" fillId="0" borderId="4" xfId="9" applyFont="1" applyFill="1" applyBorder="1"/>
    <xf numFmtId="14" fontId="5" fillId="0" borderId="0" xfId="0" applyNumberFormat="1" applyFont="1" applyFill="1" applyBorder="1" applyAlignment="1">
      <alignment horizontal="right"/>
    </xf>
    <xf numFmtId="166" fontId="4" fillId="0" borderId="0" xfId="0" applyNumberFormat="1" applyFont="1" applyAlignment="1">
      <alignment horizontal="right"/>
    </xf>
    <xf numFmtId="49" fontId="0" fillId="0" borderId="0" xfId="0" applyNumberFormat="1" applyFont="1"/>
    <xf numFmtId="166" fontId="8" fillId="0" borderId="4" xfId="9" applyNumberFormat="1" applyFont="1" applyBorder="1" applyAlignment="1">
      <alignment horizontal="right"/>
    </xf>
    <xf numFmtId="166" fontId="15" fillId="0" borderId="0" xfId="0" applyFont="1"/>
    <xf numFmtId="166" fontId="16" fillId="0" borderId="4" xfId="9" applyFont="1" applyBorder="1" applyAlignment="1">
      <alignment horizontal="left"/>
    </xf>
    <xf numFmtId="39" fontId="0" fillId="0" borderId="0" xfId="0" applyNumberFormat="1" applyAlignment="1">
      <alignment wrapText="1"/>
    </xf>
    <xf numFmtId="39" fontId="8" fillId="0" borderId="0" xfId="0" applyNumberFormat="1" applyFont="1" applyAlignment="1">
      <alignment wrapText="1"/>
    </xf>
    <xf numFmtId="43" fontId="8" fillId="0" borderId="0" xfId="0" applyNumberFormat="1" applyFont="1"/>
    <xf numFmtId="39" fontId="18" fillId="0" borderId="0" xfId="0" applyNumberFormat="1" applyFont="1" applyFill="1" applyAlignment="1">
      <alignment horizontal="center"/>
    </xf>
    <xf numFmtId="39" fontId="0" fillId="0" borderId="0" xfId="0" applyNumberFormat="1" applyFill="1"/>
    <xf numFmtId="39" fontId="8" fillId="0" borderId="0" xfId="0" applyNumberFormat="1" applyFont="1" applyFill="1"/>
    <xf numFmtId="39" fontId="7" fillId="0" borderId="3" xfId="0" applyNumberFormat="1" applyFont="1" applyFill="1" applyBorder="1" applyAlignment="1">
      <alignment horizontal="center"/>
    </xf>
    <xf numFmtId="43" fontId="5" fillId="0" borderId="0" xfId="0" applyNumberFormat="1" applyFont="1" applyFill="1" applyAlignment="1">
      <alignment horizontal="right"/>
    </xf>
    <xf numFmtId="166" fontId="17" fillId="0" borderId="3" xfId="0" applyFont="1" applyFill="1" applyBorder="1"/>
    <xf numFmtId="39" fontId="7" fillId="0" borderId="0" xfId="0" applyNumberFormat="1" applyFont="1" applyFill="1" applyBorder="1" applyAlignment="1">
      <alignment wrapText="1"/>
    </xf>
    <xf numFmtId="166" fontId="0" fillId="0" borderId="0" xfId="0" applyAlignment="1">
      <alignment vertical="center"/>
    </xf>
    <xf numFmtId="14" fontId="4" fillId="0" borderId="0" xfId="0" quotePrefix="1" applyNumberFormat="1" applyFont="1" applyFill="1" applyAlignment="1">
      <alignment horizontal="right"/>
    </xf>
    <xf numFmtId="39" fontId="4" fillId="2" borderId="0" xfId="0" applyNumberFormat="1" applyFont="1" applyFill="1" applyAlignment="1">
      <alignment wrapText="1"/>
    </xf>
    <xf numFmtId="166" fontId="4" fillId="0" borderId="0" xfId="31" applyFont="1"/>
    <xf numFmtId="39" fontId="4" fillId="0" borderId="0" xfId="31" applyNumberFormat="1" applyFont="1" applyFill="1" applyAlignment="1">
      <alignment wrapText="1"/>
    </xf>
    <xf numFmtId="14" fontId="4" fillId="0" borderId="0" xfId="31" applyNumberFormat="1" applyFont="1" applyFill="1" applyAlignment="1">
      <alignment horizontal="right"/>
    </xf>
    <xf numFmtId="166" fontId="15" fillId="0" borderId="0" xfId="31" applyFont="1"/>
    <xf numFmtId="166" fontId="15" fillId="0" borderId="0" xfId="31" applyFont="1" applyFill="1"/>
    <xf numFmtId="39" fontId="4" fillId="3" borderId="0" xfId="0" applyNumberFormat="1" applyFont="1" applyFill="1" applyAlignment="1">
      <alignment wrapText="1"/>
    </xf>
    <xf numFmtId="39" fontId="0" fillId="0" borderId="0" xfId="0" applyNumberFormat="1" applyFill="1" applyAlignment="1">
      <alignment wrapText="1"/>
    </xf>
    <xf numFmtId="166" fontId="15" fillId="0" borderId="0" xfId="0" applyFont="1" applyFill="1"/>
    <xf numFmtId="166" fontId="4" fillId="0" borderId="0" xfId="0" applyNumberFormat="1" applyFont="1" applyFill="1" applyAlignment="1">
      <alignment horizontal="right"/>
    </xf>
    <xf numFmtId="14" fontId="0" fillId="0" borderId="0" xfId="0" applyNumberFormat="1" applyFill="1" applyBorder="1" applyAlignment="1">
      <alignment horizontal="right"/>
    </xf>
    <xf numFmtId="43" fontId="4" fillId="0" borderId="0" xfId="0" applyNumberFormat="1" applyFont="1" applyFill="1" applyAlignment="1">
      <alignment wrapText="1"/>
    </xf>
    <xf numFmtId="39" fontId="4" fillId="3" borderId="0" xfId="31" applyNumberFormat="1" applyFont="1" applyFill="1" applyAlignment="1">
      <alignment wrapText="1"/>
    </xf>
    <xf numFmtId="164" fontId="0" fillId="0" borderId="0" xfId="0" applyNumberFormat="1" applyFill="1" applyAlignment="1">
      <alignment horizontal="right"/>
    </xf>
    <xf numFmtId="164" fontId="7" fillId="0" borderId="3" xfId="0" applyNumberFormat="1" applyFont="1" applyFill="1" applyBorder="1" applyAlignment="1">
      <alignment horizontal="center"/>
    </xf>
    <xf numFmtId="164" fontId="5" fillId="0" borderId="0" xfId="0" applyNumberFormat="1" applyFont="1" applyFill="1" applyAlignment="1">
      <alignment horizontal="right"/>
    </xf>
    <xf numFmtId="164" fontId="4" fillId="0" borderId="0" xfId="0" applyNumberFormat="1" applyFont="1" applyFill="1" applyAlignment="1">
      <alignment horizontal="right"/>
    </xf>
    <xf numFmtId="164" fontId="4" fillId="0" borderId="0" xfId="31" applyNumberFormat="1" applyFont="1" applyFill="1" applyAlignment="1">
      <alignment horizontal="right"/>
    </xf>
    <xf numFmtId="164" fontId="5" fillId="0" borderId="0" xfId="0" applyNumberFormat="1" applyFont="1" applyFill="1" applyBorder="1" applyAlignment="1">
      <alignment horizontal="right"/>
    </xf>
    <xf numFmtId="164" fontId="4" fillId="0" borderId="0" xfId="0" applyNumberFormat="1" applyFont="1" applyFill="1" applyBorder="1" applyAlignment="1">
      <alignment horizontal="right"/>
    </xf>
    <xf numFmtId="164" fontId="0" fillId="0" borderId="0" xfId="0" applyNumberFormat="1" applyAlignment="1">
      <alignment horizontal="right"/>
    </xf>
    <xf numFmtId="164" fontId="8" fillId="0" borderId="6" xfId="9" applyNumberFormat="1" applyFont="1" applyBorder="1" applyAlignment="1">
      <alignment horizontal="left"/>
    </xf>
    <xf numFmtId="164" fontId="8" fillId="0" borderId="7" xfId="9" applyNumberFormat="1" applyFont="1" applyBorder="1" applyAlignment="1">
      <alignment horizontal="center"/>
    </xf>
    <xf numFmtId="164" fontId="8" fillId="0" borderId="4" xfId="9" applyNumberFormat="1" applyFont="1" applyBorder="1" applyAlignment="1">
      <alignment horizontal="right"/>
    </xf>
    <xf numFmtId="164" fontId="4" fillId="0" borderId="0" xfId="0" applyNumberFormat="1" applyFont="1"/>
    <xf numFmtId="164" fontId="0" fillId="0" borderId="0" xfId="0" applyNumberFormat="1" applyFill="1" applyBorder="1" applyAlignment="1">
      <alignment horizontal="right"/>
    </xf>
    <xf numFmtId="164" fontId="5" fillId="0" borderId="0" xfId="0" applyNumberFormat="1" applyFont="1" applyFill="1"/>
    <xf numFmtId="164" fontId="4" fillId="0" borderId="0" xfId="0" quotePrefix="1" applyNumberFormat="1" applyFont="1" applyFill="1" applyAlignment="1">
      <alignment horizontal="right"/>
    </xf>
    <xf numFmtId="164" fontId="0" fillId="0" borderId="0" xfId="0" applyNumberFormat="1" applyBorder="1" applyAlignment="1">
      <alignment horizontal="right"/>
    </xf>
    <xf numFmtId="164" fontId="0" fillId="0" borderId="0" xfId="0" applyNumberFormat="1" applyFill="1"/>
    <xf numFmtId="43" fontId="23" fillId="0" borderId="0" xfId="1" applyFont="1" applyFill="1" applyAlignment="1">
      <alignment horizontal="right"/>
    </xf>
    <xf numFmtId="43" fontId="24" fillId="0" borderId="0" xfId="1" applyFont="1"/>
    <xf numFmtId="14" fontId="8" fillId="0" borderId="0" xfId="0" applyNumberFormat="1" applyFont="1" applyAlignment="1">
      <alignment wrapText="1"/>
    </xf>
    <xf numFmtId="43" fontId="7" fillId="0" borderId="5" xfId="1" applyFont="1" applyBorder="1"/>
    <xf numFmtId="43" fontId="0" fillId="0" borderId="0" xfId="1" applyFont="1" applyFill="1" applyBorder="1"/>
    <xf numFmtId="43" fontId="7" fillId="0" borderId="0" xfId="1" applyFont="1" applyFill="1" applyBorder="1"/>
    <xf numFmtId="164" fontId="4" fillId="0" borderId="0" xfId="0" applyNumberFormat="1" applyFont="1" applyAlignment="1">
      <alignment horizontal="right"/>
    </xf>
    <xf numFmtId="164" fontId="4" fillId="0" borderId="0" xfId="0" applyNumberFormat="1" applyFont="1" applyFill="1"/>
    <xf numFmtId="40" fontId="25" fillId="0" borderId="0" xfId="0" applyNumberFormat="1" applyFont="1" applyFill="1" applyBorder="1" applyAlignment="1">
      <alignment horizontal="left" vertical="center"/>
    </xf>
    <xf numFmtId="166" fontId="0" fillId="0" borderId="0" xfId="0" applyAlignment="1">
      <alignment horizontal="left" vertical="center"/>
    </xf>
    <xf numFmtId="40" fontId="29" fillId="0" borderId="0" xfId="0" applyNumberFormat="1" applyFont="1" applyFill="1" applyBorder="1" applyAlignment="1">
      <alignment horizontal="left" vertical="center"/>
    </xf>
    <xf numFmtId="166" fontId="22" fillId="5" borderId="9" xfId="0" applyFont="1" applyFill="1" applyBorder="1" applyAlignment="1">
      <alignment horizontal="center" vertical="center" wrapText="1"/>
    </xf>
    <xf numFmtId="166" fontId="30" fillId="5" borderId="9" xfId="0" applyFont="1" applyFill="1" applyBorder="1" applyAlignment="1">
      <alignment horizontal="left" vertical="center"/>
    </xf>
    <xf numFmtId="165" fontId="30" fillId="5" borderId="9" xfId="0" applyNumberFormat="1" applyFont="1" applyFill="1" applyBorder="1" applyAlignment="1">
      <alignment horizontal="right" vertical="center"/>
    </xf>
    <xf numFmtId="165" fontId="29" fillId="5" borderId="9" xfId="0" applyNumberFormat="1" applyFont="1" applyFill="1" applyBorder="1" applyAlignment="1">
      <alignment horizontal="right" vertical="center"/>
    </xf>
    <xf numFmtId="166" fontId="30" fillId="4" borderId="9" xfId="0" applyFont="1" applyFill="1" applyBorder="1" applyAlignment="1">
      <alignment horizontal="left" vertical="center"/>
    </xf>
    <xf numFmtId="165" fontId="30" fillId="4" borderId="9" xfId="0" applyNumberFormat="1" applyFont="1" applyFill="1" applyBorder="1" applyAlignment="1">
      <alignment horizontal="right" vertical="center"/>
    </xf>
    <xf numFmtId="165" fontId="29" fillId="4" borderId="9" xfId="0" applyNumberFormat="1" applyFont="1" applyFill="1" applyBorder="1" applyAlignment="1">
      <alignment horizontal="right" vertical="center"/>
    </xf>
    <xf numFmtId="166" fontId="30" fillId="5" borderId="11" xfId="0" applyFont="1" applyFill="1" applyBorder="1" applyAlignment="1">
      <alignment horizontal="left" vertical="center"/>
    </xf>
    <xf numFmtId="165" fontId="30" fillId="5" borderId="11" xfId="0" applyNumberFormat="1" applyFont="1" applyFill="1" applyBorder="1" applyAlignment="1">
      <alignment horizontal="right" vertical="center"/>
    </xf>
    <xf numFmtId="14" fontId="30" fillId="5" borderId="9" xfId="0" applyNumberFormat="1" applyFont="1" applyFill="1" applyBorder="1" applyAlignment="1">
      <alignment horizontal="left" vertical="center"/>
    </xf>
    <xf numFmtId="14" fontId="30" fillId="5" borderId="11" xfId="0" applyNumberFormat="1" applyFont="1" applyFill="1" applyBorder="1" applyAlignment="1">
      <alignment horizontal="left" vertical="center"/>
    </xf>
    <xf numFmtId="166" fontId="22" fillId="5" borderId="10" xfId="0" applyFont="1" applyFill="1" applyBorder="1" applyAlignment="1">
      <alignment horizontal="left" vertical="center"/>
    </xf>
    <xf numFmtId="40" fontId="19" fillId="0" borderId="0" xfId="0" applyNumberFormat="1" applyFont="1" applyFill="1" applyBorder="1" applyAlignment="1">
      <alignment horizontal="left" vertical="center"/>
    </xf>
    <xf numFmtId="39" fontId="19" fillId="0" borderId="0" xfId="0" applyNumberFormat="1" applyFont="1" applyFill="1" applyBorder="1" applyAlignment="1">
      <alignment horizontal="left" vertical="center"/>
    </xf>
    <xf numFmtId="166" fontId="11" fillId="0" borderId="0" xfId="0" applyNumberFormat="1" applyFont="1" applyFill="1" applyAlignment="1">
      <alignment horizontal="center"/>
    </xf>
    <xf numFmtId="166" fontId="7" fillId="0" borderId="0" xfId="0" applyNumberFormat="1" applyFont="1" applyFill="1" applyAlignment="1" applyProtection="1">
      <alignment wrapText="1"/>
      <protection locked="0"/>
    </xf>
    <xf numFmtId="14" fontId="4" fillId="0" borderId="0" xfId="0" applyNumberFormat="1" applyFont="1" applyAlignment="1">
      <alignment horizontal="center"/>
    </xf>
    <xf numFmtId="14" fontId="4" fillId="0" borderId="0" xfId="0" applyNumberFormat="1" applyFont="1" applyFill="1" applyAlignment="1">
      <alignment horizontal="center"/>
    </xf>
    <xf numFmtId="40" fontId="0" fillId="0" borderId="0" xfId="0" applyNumberFormat="1" applyFill="1" applyAlignment="1">
      <alignment vertical="center"/>
    </xf>
    <xf numFmtId="40" fontId="0" fillId="0" borderId="0" xfId="0" applyNumberFormat="1" applyAlignment="1">
      <alignment vertical="center"/>
    </xf>
    <xf numFmtId="166" fontId="0" fillId="0" borderId="0" xfId="0" applyFont="1" applyFill="1"/>
    <xf numFmtId="49" fontId="4" fillId="0" borderId="0" xfId="0" applyNumberFormat="1" applyFont="1" applyFill="1" applyAlignment="1">
      <alignment wrapText="1"/>
    </xf>
    <xf numFmtId="1" fontId="7" fillId="0" borderId="3" xfId="0" applyNumberFormat="1" applyFont="1" applyFill="1" applyBorder="1"/>
    <xf numFmtId="1" fontId="0" fillId="0" borderId="0" xfId="0" applyNumberFormat="1" applyAlignment="1">
      <alignment horizontal="right"/>
    </xf>
    <xf numFmtId="1" fontId="4" fillId="0" borderId="0" xfId="31" applyNumberFormat="1" applyFont="1" applyAlignment="1">
      <alignment horizontal="right"/>
    </xf>
    <xf numFmtId="1" fontId="0" fillId="0" borderId="0" xfId="0" applyNumberFormat="1" applyFill="1" applyAlignment="1">
      <alignment horizontal="right"/>
    </xf>
    <xf numFmtId="1" fontId="5" fillId="0" borderId="0" xfId="0" applyNumberFormat="1" applyFont="1" applyAlignment="1">
      <alignment horizontal="right"/>
    </xf>
    <xf numFmtId="1" fontId="5" fillId="0" borderId="0" xfId="0" applyNumberFormat="1" applyFont="1" applyFill="1" applyAlignment="1">
      <alignment horizontal="right"/>
    </xf>
    <xf numFmtId="1" fontId="4" fillId="0" borderId="0" xfId="31" applyNumberFormat="1" applyFont="1"/>
    <xf numFmtId="1" fontId="7" fillId="0" borderId="5" xfId="0" applyNumberFormat="1" applyFont="1" applyFill="1" applyBorder="1"/>
    <xf numFmtId="1" fontId="7" fillId="0" borderId="3" xfId="0" applyNumberFormat="1" applyFont="1" applyFill="1" applyBorder="1" applyAlignment="1">
      <alignment horizontal="center"/>
    </xf>
    <xf numFmtId="1" fontId="8" fillId="0" borderId="7" xfId="9" applyNumberFormat="1" applyFont="1" applyBorder="1" applyAlignment="1">
      <alignment horizontal="right"/>
    </xf>
    <xf numFmtId="1" fontId="0" fillId="0" borderId="0" xfId="0" applyNumberFormat="1" applyAlignment="1">
      <alignment horizontal="center"/>
    </xf>
    <xf numFmtId="1" fontId="9" fillId="0" borderId="0" xfId="9" applyNumberFormat="1" applyFont="1" applyAlignment="1">
      <alignment horizontal="center"/>
    </xf>
    <xf numFmtId="1" fontId="8" fillId="0" borderId="0" xfId="10" applyNumberFormat="1" applyFont="1" applyAlignment="1">
      <alignment horizontal="right"/>
    </xf>
    <xf numFmtId="1" fontId="4" fillId="0" borderId="0" xfId="0" applyNumberFormat="1" applyFont="1" applyAlignment="1">
      <alignment horizontal="center"/>
    </xf>
    <xf numFmtId="1" fontId="4" fillId="0" borderId="0" xfId="0" applyNumberFormat="1" applyFont="1" applyFill="1" applyAlignment="1">
      <alignment horizontal="right"/>
    </xf>
    <xf numFmtId="1" fontId="4" fillId="0" borderId="0" xfId="31" applyNumberFormat="1" applyFont="1" applyFill="1" applyAlignment="1">
      <alignment horizontal="right"/>
    </xf>
    <xf numFmtId="1" fontId="4" fillId="0" borderId="0" xfId="0" quotePrefix="1" applyNumberFormat="1" applyFont="1" applyFill="1" applyAlignment="1">
      <alignment horizontal="right"/>
    </xf>
    <xf numFmtId="1" fontId="4" fillId="0" borderId="0" xfId="0" applyNumberFormat="1" applyFont="1" applyFill="1" applyAlignment="1">
      <alignment horizontal="center"/>
    </xf>
    <xf numFmtId="1" fontId="4" fillId="0" borderId="0" xfId="31" quotePrefix="1" applyNumberFormat="1" applyFont="1" applyFill="1" applyAlignment="1">
      <alignment horizontal="right"/>
    </xf>
    <xf numFmtId="1" fontId="5" fillId="0" borderId="0" xfId="1" applyNumberFormat="1" applyFont="1" applyAlignment="1">
      <alignment horizontal="right"/>
    </xf>
    <xf numFmtId="1" fontId="4" fillId="0" borderId="0" xfId="1" applyNumberFormat="1" applyFont="1" applyAlignment="1">
      <alignment horizontal="right"/>
    </xf>
    <xf numFmtId="1" fontId="5" fillId="0" borderId="0" xfId="0" quotePrefix="1" applyNumberFormat="1" applyFont="1" applyFill="1" applyAlignment="1">
      <alignment horizontal="right"/>
    </xf>
    <xf numFmtId="1" fontId="4" fillId="0" borderId="0" xfId="0" applyNumberFormat="1" applyFont="1" applyAlignment="1">
      <alignment horizontal="right"/>
    </xf>
    <xf numFmtId="1" fontId="32" fillId="0" borderId="0" xfId="37" applyNumberFormat="1"/>
    <xf numFmtId="0" fontId="0" fillId="0" borderId="0" xfId="0" applyNumberFormat="1"/>
    <xf numFmtId="0" fontId="4" fillId="0" borderId="0" xfId="0" quotePrefix="1" applyNumberFormat="1" applyFont="1" applyFill="1" applyAlignment="1">
      <alignment horizontal="right"/>
    </xf>
    <xf numFmtId="0" fontId="4" fillId="0" borderId="0" xfId="0" applyNumberFormat="1" applyFont="1" applyFill="1" applyAlignment="1">
      <alignment horizontal="right"/>
    </xf>
    <xf numFmtId="39" fontId="4" fillId="0" borderId="0" xfId="0" applyNumberFormat="1" applyFont="1" applyFill="1" applyBorder="1" applyAlignment="1">
      <alignment horizontal="left" vertical="center" wrapText="1"/>
    </xf>
    <xf numFmtId="39" fontId="4" fillId="6" borderId="0" xfId="0" applyNumberFormat="1" applyFont="1" applyFill="1" applyAlignment="1">
      <alignment wrapText="1"/>
    </xf>
    <xf numFmtId="43" fontId="33" fillId="0" borderId="0" xfId="1" applyFont="1" applyFill="1"/>
    <xf numFmtId="39" fontId="33" fillId="0" borderId="0" xfId="0" applyNumberFormat="1" applyFont="1" applyFill="1" applyAlignment="1">
      <alignment wrapText="1"/>
    </xf>
    <xf numFmtId="14" fontId="14" fillId="0" borderId="0" xfId="0" applyNumberFormat="1" applyFont="1" applyFill="1" applyAlignment="1">
      <alignment horizontal="right"/>
    </xf>
    <xf numFmtId="14" fontId="8" fillId="0" borderId="0" xfId="0" applyNumberFormat="1" applyFont="1" applyFill="1" applyAlignment="1">
      <alignment horizontal="right"/>
    </xf>
    <xf numFmtId="14" fontId="7" fillId="0" borderId="3" xfId="0" applyNumberFormat="1" applyFont="1" applyFill="1" applyBorder="1" applyAlignment="1">
      <alignment horizontal="center"/>
    </xf>
    <xf numFmtId="14" fontId="7" fillId="0" borderId="3" xfId="0" applyNumberFormat="1" applyFont="1" applyFill="1" applyBorder="1" applyAlignment="1">
      <alignment horizontal="center" wrapText="1"/>
    </xf>
    <xf numFmtId="14" fontId="4" fillId="0" borderId="0" xfId="31" quotePrefix="1" applyNumberFormat="1" applyFont="1" applyFill="1" applyAlignment="1">
      <alignment horizontal="right"/>
    </xf>
    <xf numFmtId="14" fontId="5" fillId="0" borderId="0" xfId="0" quotePrefix="1" applyNumberFormat="1" applyFont="1" applyFill="1" applyAlignment="1">
      <alignment horizontal="right"/>
    </xf>
    <xf numFmtId="14" fontId="4" fillId="0" borderId="0" xfId="0" applyNumberFormat="1" applyFont="1" applyAlignment="1">
      <alignment horizontal="right"/>
    </xf>
    <xf numFmtId="14" fontId="0" fillId="0" borderId="0" xfId="1" applyNumberFormat="1" applyFont="1" applyFill="1"/>
    <xf numFmtId="0" fontId="0" fillId="0" borderId="0" xfId="0" applyNumberFormat="1" applyAlignment="1">
      <alignment horizontal="right"/>
    </xf>
    <xf numFmtId="39" fontId="4" fillId="0" borderId="0" xfId="6" applyNumberFormat="1" applyFont="1" applyFill="1" applyAlignment="1">
      <alignment wrapText="1"/>
    </xf>
    <xf numFmtId="39" fontId="4" fillId="2" borderId="0" xfId="6" applyNumberFormat="1" applyFont="1" applyFill="1" applyAlignment="1">
      <alignment wrapText="1"/>
    </xf>
    <xf numFmtId="165" fontId="31" fillId="5" borderId="10" xfId="0" applyNumberFormat="1" applyFont="1" applyFill="1" applyBorder="1" applyAlignment="1">
      <alignment horizontal="right" vertical="center"/>
    </xf>
    <xf numFmtId="49" fontId="30" fillId="5" borderId="9" xfId="0" applyNumberFormat="1" applyFont="1" applyFill="1" applyBorder="1" applyAlignment="1">
      <alignment horizontal="left" vertical="center"/>
    </xf>
    <xf numFmtId="49" fontId="30" fillId="5" borderId="11" xfId="0" applyNumberFormat="1" applyFont="1" applyFill="1" applyBorder="1" applyAlignment="1">
      <alignment horizontal="left" vertical="center"/>
    </xf>
    <xf numFmtId="40" fontId="22" fillId="0" borderId="6" xfId="0" applyNumberFormat="1" applyFont="1" applyFill="1" applyBorder="1" applyAlignment="1">
      <alignment horizontal="center" vertical="center" wrapText="1"/>
    </xf>
    <xf numFmtId="49" fontId="22" fillId="5" borderId="9" xfId="0" applyNumberFormat="1" applyFont="1" applyFill="1" applyBorder="1" applyAlignment="1">
      <alignment horizontal="center" vertical="center" wrapText="1"/>
    </xf>
    <xf numFmtId="49" fontId="22" fillId="5" borderId="10" xfId="0" applyNumberFormat="1" applyFont="1" applyFill="1" applyBorder="1" applyAlignment="1">
      <alignment horizontal="left" vertical="center"/>
    </xf>
    <xf numFmtId="166" fontId="35" fillId="0" borderId="0" xfId="31" applyFont="1"/>
    <xf numFmtId="49" fontId="0" fillId="0" borderId="0" xfId="0" applyNumberFormat="1" applyAlignment="1">
      <alignment horizontal="right"/>
    </xf>
    <xf numFmtId="166" fontId="22" fillId="5" borderId="6" xfId="0" applyFont="1" applyFill="1" applyBorder="1" applyAlignment="1">
      <alignment horizontal="center" vertical="center" wrapText="1"/>
    </xf>
    <xf numFmtId="40" fontId="19" fillId="0" borderId="6" xfId="0" applyNumberFormat="1" applyFont="1" applyBorder="1" applyAlignment="1">
      <alignment horizontal="right" vertical="center"/>
    </xf>
    <xf numFmtId="40" fontId="19" fillId="0" borderId="6" xfId="0" applyNumberFormat="1" applyFont="1" applyFill="1" applyBorder="1" applyAlignment="1">
      <alignment horizontal="right" vertical="center"/>
    </xf>
    <xf numFmtId="40" fontId="19" fillId="0" borderId="12" xfId="0" applyNumberFormat="1" applyFont="1" applyBorder="1" applyAlignment="1">
      <alignment horizontal="right" vertical="center"/>
    </xf>
    <xf numFmtId="40" fontId="19" fillId="0" borderId="12" xfId="0" applyNumberFormat="1" applyFont="1" applyFill="1" applyBorder="1" applyAlignment="1">
      <alignment horizontal="right" vertical="center"/>
    </xf>
    <xf numFmtId="43" fontId="14" fillId="0" borderId="0" xfId="1" applyFont="1" applyFill="1" applyAlignment="1">
      <alignment horizontal="right"/>
    </xf>
    <xf numFmtId="43" fontId="4" fillId="0" borderId="0" xfId="1" applyFont="1" applyFill="1" applyAlignment="1">
      <alignment horizontal="right"/>
    </xf>
    <xf numFmtId="43" fontId="8" fillId="0" borderId="0" xfId="1" applyFont="1" applyFill="1" applyAlignment="1">
      <alignment horizontal="right"/>
    </xf>
    <xf numFmtId="43" fontId="7" fillId="0" borderId="3" xfId="1" applyFont="1" applyFill="1" applyBorder="1" applyAlignment="1">
      <alignment horizontal="center" wrapText="1"/>
    </xf>
    <xf numFmtId="43" fontId="0" fillId="0" borderId="0" xfId="1" applyFont="1" applyFill="1" applyAlignment="1">
      <alignment horizontal="right"/>
    </xf>
    <xf numFmtId="43" fontId="7" fillId="0" borderId="0" xfId="1" applyFont="1" applyFill="1" applyAlignment="1">
      <alignment horizontal="right"/>
    </xf>
    <xf numFmtId="43" fontId="0" fillId="0" borderId="0" xfId="1" applyFont="1" applyFill="1" applyBorder="1" applyAlignment="1">
      <alignment horizontal="right"/>
    </xf>
    <xf numFmtId="39" fontId="4" fillId="0" borderId="0" xfId="0" applyNumberFormat="1" applyFont="1" applyAlignment="1">
      <alignment wrapText="1"/>
    </xf>
    <xf numFmtId="0" fontId="4" fillId="0" borderId="0" xfId="0" applyNumberFormat="1" applyFont="1" applyAlignment="1">
      <alignment horizontal="right"/>
    </xf>
    <xf numFmtId="14" fontId="7" fillId="0" borderId="0" xfId="0" applyNumberFormat="1" applyFont="1" applyFill="1" applyAlignment="1">
      <alignment horizontal="right"/>
    </xf>
    <xf numFmtId="14" fontId="23" fillId="0" borderId="0" xfId="1" applyNumberFormat="1" applyFont="1" applyFill="1" applyAlignment="1">
      <alignment horizontal="right"/>
    </xf>
    <xf numFmtId="166" fontId="33" fillId="0" borderId="0" xfId="0" applyFont="1" applyFill="1"/>
    <xf numFmtId="1" fontId="4" fillId="0" borderId="0" xfId="1" applyNumberFormat="1" applyFont="1" applyFill="1" applyAlignment="1">
      <alignment horizontal="right"/>
    </xf>
    <xf numFmtId="0" fontId="0" fillId="0" borderId="0" xfId="0" applyNumberFormat="1" applyFill="1" applyAlignment="1">
      <alignment horizontal="right"/>
    </xf>
    <xf numFmtId="1" fontId="0" fillId="0" borderId="0" xfId="0" applyNumberFormat="1" applyFill="1" applyAlignment="1">
      <alignment horizontal="center"/>
    </xf>
    <xf numFmtId="43" fontId="0" fillId="0" borderId="0" xfId="1" applyNumberFormat="1" applyFont="1"/>
    <xf numFmtId="166" fontId="36" fillId="0" borderId="0" xfId="0" applyFont="1"/>
    <xf numFmtId="39" fontId="13" fillId="0" borderId="0" xfId="0" applyNumberFormat="1" applyFont="1" applyFill="1" applyAlignment="1">
      <alignment wrapText="1"/>
    </xf>
    <xf numFmtId="165" fontId="22" fillId="4" borderId="10" xfId="0" applyNumberFormat="1" applyFont="1" applyFill="1" applyBorder="1" applyAlignment="1">
      <alignment horizontal="right" vertical="center"/>
    </xf>
    <xf numFmtId="165" fontId="30" fillId="4" borderId="11" xfId="0" applyNumberFormat="1" applyFont="1" applyFill="1" applyBorder="1" applyAlignment="1">
      <alignment horizontal="right" vertical="center"/>
    </xf>
    <xf numFmtId="166" fontId="5" fillId="6" borderId="0" xfId="0" applyFont="1" applyFill="1"/>
    <xf numFmtId="166" fontId="36" fillId="0" borderId="0" xfId="0" applyFont="1" applyFill="1"/>
    <xf numFmtId="43" fontId="7" fillId="0" borderId="0" xfId="1" applyFont="1" applyFill="1"/>
    <xf numFmtId="43" fontId="5" fillId="0" borderId="0" xfId="0" applyNumberFormat="1" applyFont="1" applyFill="1"/>
    <xf numFmtId="43" fontId="7" fillId="0" borderId="0" xfId="0" applyNumberFormat="1" applyFont="1"/>
    <xf numFmtId="43" fontId="0" fillId="0" borderId="0" xfId="0" applyNumberFormat="1"/>
    <xf numFmtId="43" fontId="4" fillId="0" borderId="0" xfId="0" applyNumberFormat="1" applyFont="1" applyFill="1"/>
    <xf numFmtId="43" fontId="5" fillId="7" borderId="0" xfId="0" applyNumberFormat="1" applyFont="1" applyFill="1"/>
    <xf numFmtId="43" fontId="5" fillId="6" borderId="0" xfId="0" applyNumberFormat="1" applyFont="1" applyFill="1"/>
    <xf numFmtId="43" fontId="0" fillId="0" borderId="0" xfId="0" applyNumberFormat="1" applyFill="1"/>
    <xf numFmtId="43" fontId="4" fillId="0" borderId="5" xfId="0" applyNumberFormat="1" applyFont="1" applyFill="1" applyBorder="1"/>
    <xf numFmtId="166" fontId="4" fillId="0" borderId="0" xfId="0" applyFont="1" applyFill="1" applyBorder="1"/>
    <xf numFmtId="0" fontId="22" fillId="5" borderId="9" xfId="39" applyFont="1" applyFill="1" applyBorder="1" applyAlignment="1">
      <alignment horizontal="center" vertical="center" wrapText="1"/>
    </xf>
    <xf numFmtId="0" fontId="30" fillId="5" borderId="9" xfId="39" applyFont="1" applyFill="1" applyBorder="1" applyAlignment="1">
      <alignment horizontal="left" vertical="center"/>
    </xf>
    <xf numFmtId="165" fontId="30" fillId="4" borderId="9" xfId="39" applyNumberFormat="1" applyFont="1" applyFill="1" applyBorder="1" applyAlignment="1">
      <alignment horizontal="right" vertical="center"/>
    </xf>
    <xf numFmtId="14" fontId="30" fillId="5" borderId="9" xfId="39" applyNumberFormat="1" applyFont="1" applyFill="1" applyBorder="1" applyAlignment="1">
      <alignment horizontal="left" vertical="center"/>
    </xf>
    <xf numFmtId="0" fontId="30" fillId="5" borderId="11" xfId="39" applyFont="1" applyFill="1" applyBorder="1" applyAlignment="1">
      <alignment horizontal="left" vertical="center"/>
    </xf>
    <xf numFmtId="165" fontId="30" fillId="4" borderId="11" xfId="39" applyNumberFormat="1" applyFont="1" applyFill="1" applyBorder="1" applyAlignment="1">
      <alignment horizontal="right" vertical="center"/>
    </xf>
    <xf numFmtId="14" fontId="30" fillId="5" borderId="11" xfId="39" applyNumberFormat="1" applyFont="1" applyFill="1" applyBorder="1" applyAlignment="1">
      <alignment horizontal="left" vertical="center"/>
    </xf>
    <xf numFmtId="0" fontId="22" fillId="5" borderId="10" xfId="39" applyFont="1" applyFill="1" applyBorder="1" applyAlignment="1">
      <alignment horizontal="left" vertical="center"/>
    </xf>
    <xf numFmtId="165" fontId="22" fillId="4" borderId="10" xfId="39" applyNumberFormat="1" applyFont="1" applyFill="1" applyBorder="1" applyAlignment="1">
      <alignment horizontal="right" vertical="center"/>
    </xf>
    <xf numFmtId="1" fontId="4" fillId="0" borderId="0" xfId="0" quotePrefix="1" applyNumberFormat="1" applyFont="1" applyFill="1" applyAlignment="1">
      <alignment horizontal="center"/>
    </xf>
    <xf numFmtId="1" fontId="0" fillId="0" borderId="0" xfId="0" applyNumberFormat="1" applyFill="1" applyBorder="1" applyAlignment="1">
      <alignment horizontal="right"/>
    </xf>
    <xf numFmtId="14" fontId="0" fillId="0" borderId="0" xfId="0" applyNumberFormat="1" applyFill="1"/>
    <xf numFmtId="166" fontId="0" fillId="0" borderId="0" xfId="0" applyFont="1" applyFill="1" applyBorder="1"/>
    <xf numFmtId="166" fontId="0" fillId="0" borderId="0" xfId="0" applyFill="1" applyBorder="1"/>
    <xf numFmtId="1" fontId="4" fillId="0" borderId="0" xfId="31" applyNumberFormat="1" applyFont="1" applyFill="1"/>
    <xf numFmtId="166" fontId="30" fillId="0" borderId="9" xfId="0" applyFont="1" applyFill="1" applyBorder="1" applyAlignment="1">
      <alignment horizontal="left" vertical="center"/>
    </xf>
    <xf numFmtId="165" fontId="30" fillId="0" borderId="9" xfId="0" applyNumberFormat="1" applyFont="1" applyFill="1" applyBorder="1" applyAlignment="1">
      <alignment horizontal="right" vertical="center"/>
    </xf>
    <xf numFmtId="14" fontId="5" fillId="2" borderId="0" xfId="0" applyNumberFormat="1" applyFont="1" applyFill="1" applyAlignment="1">
      <alignment horizontal="right"/>
    </xf>
    <xf numFmtId="14" fontId="4" fillId="2" borderId="0" xfId="0" applyNumberFormat="1" applyFont="1" applyFill="1" applyAlignment="1">
      <alignment horizontal="right"/>
    </xf>
    <xf numFmtId="43" fontId="0" fillId="2" borderId="0" xfId="1" applyFont="1" applyFill="1"/>
    <xf numFmtId="166" fontId="4" fillId="0" borderId="0" xfId="0" applyFont="1" applyFill="1" applyAlignment="1">
      <alignment wrapText="1"/>
    </xf>
    <xf numFmtId="43" fontId="0" fillId="8" borderId="0" xfId="1" applyFont="1" applyFill="1"/>
    <xf numFmtId="39" fontId="4" fillId="0" borderId="0" xfId="6" applyNumberFormat="1" applyFont="1" applyFill="1" applyBorder="1" applyAlignment="1">
      <alignment horizontal="left" vertical="center" wrapText="1"/>
    </xf>
    <xf numFmtId="165" fontId="30" fillId="0" borderId="0" xfId="0" applyNumberFormat="1" applyFont="1" applyFill="1" applyBorder="1" applyAlignment="1">
      <alignment horizontal="right" vertical="center"/>
    </xf>
    <xf numFmtId="166" fontId="7" fillId="0" borderId="0" xfId="0" applyFont="1" applyFill="1"/>
    <xf numFmtId="166" fontId="0" fillId="6" borderId="0" xfId="0" applyFill="1"/>
    <xf numFmtId="1" fontId="5" fillId="6" borderId="0" xfId="0" applyNumberFormat="1" applyFont="1" applyFill="1" applyAlignment="1">
      <alignment horizontal="right"/>
    </xf>
    <xf numFmtId="166" fontId="15" fillId="6" borderId="0" xfId="0" applyFont="1" applyFill="1"/>
    <xf numFmtId="14" fontId="30" fillId="6" borderId="9" xfId="0" applyNumberFormat="1" applyFont="1" applyFill="1" applyBorder="1" applyAlignment="1">
      <alignment horizontal="left" vertical="center"/>
    </xf>
    <xf numFmtId="166" fontId="4" fillId="6" borderId="0" xfId="0" applyFont="1" applyFill="1" applyBorder="1"/>
    <xf numFmtId="1" fontId="4" fillId="6" borderId="0" xfId="0" applyNumberFormat="1" applyFont="1" applyFill="1" applyAlignment="1">
      <alignment horizontal="center"/>
    </xf>
    <xf numFmtId="1" fontId="4" fillId="6" borderId="0" xfId="0" applyNumberFormat="1" applyFont="1" applyFill="1" applyAlignment="1">
      <alignment horizontal="right"/>
    </xf>
    <xf numFmtId="14" fontId="4" fillId="6" borderId="0" xfId="0" applyNumberFormat="1" applyFont="1" applyFill="1" applyAlignment="1">
      <alignment horizontal="right"/>
    </xf>
    <xf numFmtId="43" fontId="0" fillId="6" borderId="0" xfId="1" applyFont="1" applyFill="1"/>
    <xf numFmtId="49" fontId="4" fillId="6" borderId="0" xfId="0" applyNumberFormat="1" applyFont="1" applyFill="1" applyAlignment="1">
      <alignment wrapText="1"/>
    </xf>
    <xf numFmtId="1" fontId="4" fillId="3" borderId="0" xfId="0" applyNumberFormat="1" applyFont="1" applyFill="1" applyAlignment="1">
      <alignment horizontal="center"/>
    </xf>
    <xf numFmtId="1" fontId="4" fillId="3" borderId="0" xfId="0" quotePrefix="1" applyNumberFormat="1" applyFont="1" applyFill="1" applyAlignment="1">
      <alignment horizontal="right"/>
    </xf>
    <xf numFmtId="14" fontId="4" fillId="3" borderId="0" xfId="0" applyNumberFormat="1" applyFont="1" applyFill="1" applyAlignment="1">
      <alignment horizontal="right"/>
    </xf>
    <xf numFmtId="14" fontId="0" fillId="3" borderId="0" xfId="1" applyNumberFormat="1" applyFont="1" applyFill="1"/>
    <xf numFmtId="43" fontId="0" fillId="3" borderId="0" xfId="1" applyFont="1" applyFill="1"/>
    <xf numFmtId="43" fontId="5" fillId="0" borderId="0" xfId="1" applyFont="1" applyFill="1" applyAlignment="1">
      <alignment horizontal="right"/>
    </xf>
    <xf numFmtId="1" fontId="0" fillId="6" borderId="0" xfId="0" applyNumberFormat="1" applyFill="1" applyAlignment="1">
      <alignment horizontal="right"/>
    </xf>
    <xf numFmtId="164" fontId="4" fillId="6" borderId="0" xfId="0" applyNumberFormat="1" applyFont="1" applyFill="1"/>
    <xf numFmtId="166" fontId="4" fillId="6" borderId="0" xfId="0" applyFont="1" applyFill="1"/>
    <xf numFmtId="0" fontId="4" fillId="6" borderId="0" xfId="0" quotePrefix="1" applyNumberFormat="1" applyFont="1" applyFill="1" applyAlignment="1">
      <alignment horizontal="right"/>
    </xf>
    <xf numFmtId="14" fontId="0" fillId="6" borderId="0" xfId="0" applyNumberFormat="1" applyFill="1"/>
    <xf numFmtId="39" fontId="4" fillId="6" borderId="0" xfId="31" applyNumberFormat="1" applyFont="1" applyFill="1" applyAlignment="1">
      <alignment wrapText="1"/>
    </xf>
    <xf numFmtId="43" fontId="0" fillId="6" borderId="0" xfId="0" applyNumberFormat="1" applyFill="1"/>
    <xf numFmtId="164" fontId="5" fillId="6" borderId="0" xfId="0" applyNumberFormat="1" applyFont="1" applyFill="1" applyAlignment="1">
      <alignment horizontal="right"/>
    </xf>
    <xf numFmtId="1" fontId="4" fillId="6" borderId="0" xfId="0" quotePrefix="1" applyNumberFormat="1" applyFont="1" applyFill="1" applyAlignment="1">
      <alignment horizontal="right"/>
    </xf>
    <xf numFmtId="164" fontId="4" fillId="6" borderId="0" xfId="0" applyNumberFormat="1" applyFont="1" applyFill="1" applyAlignment="1">
      <alignment horizontal="right"/>
    </xf>
    <xf numFmtId="14" fontId="5" fillId="6" borderId="0" xfId="0" applyNumberFormat="1" applyFont="1" applyFill="1" applyAlignment="1">
      <alignment horizontal="right"/>
    </xf>
    <xf numFmtId="164" fontId="0" fillId="6" borderId="0" xfId="0" applyNumberFormat="1" applyFill="1" applyBorder="1" applyAlignment="1">
      <alignment horizontal="right"/>
    </xf>
    <xf numFmtId="14" fontId="4" fillId="6" borderId="0" xfId="0" applyNumberFormat="1" applyFont="1" applyFill="1" applyAlignment="1">
      <alignment horizontal="center"/>
    </xf>
    <xf numFmtId="0" fontId="0" fillId="6" borderId="0" xfId="0" applyNumberFormat="1" applyFill="1" applyBorder="1" applyAlignment="1">
      <alignment horizontal="left" vertical="top"/>
    </xf>
    <xf numFmtId="164" fontId="5" fillId="6" borderId="0" xfId="0" applyNumberFormat="1" applyFont="1" applyFill="1"/>
    <xf numFmtId="166" fontId="0" fillId="6" borderId="0" xfId="0" applyFont="1" applyFill="1"/>
    <xf numFmtId="1" fontId="5" fillId="6" borderId="0" xfId="0" quotePrefix="1" applyNumberFormat="1" applyFont="1" applyFill="1" applyAlignment="1">
      <alignment horizontal="right"/>
    </xf>
    <xf numFmtId="43" fontId="4" fillId="6" borderId="0" xfId="0" applyNumberFormat="1" applyFont="1" applyFill="1"/>
    <xf numFmtId="166" fontId="30" fillId="4" borderId="11" xfId="0" applyFont="1" applyFill="1" applyBorder="1" applyAlignment="1">
      <alignment horizontal="left" vertical="center"/>
    </xf>
    <xf numFmtId="165" fontId="29" fillId="4" borderId="11" xfId="0" applyNumberFormat="1" applyFont="1" applyFill="1" applyBorder="1" applyAlignment="1">
      <alignment horizontal="right" vertical="center"/>
    </xf>
    <xf numFmtId="49" fontId="22" fillId="5" borderId="9" xfId="39" applyNumberFormat="1" applyFont="1" applyFill="1" applyBorder="1" applyAlignment="1">
      <alignment horizontal="center" vertical="center" wrapText="1"/>
    </xf>
    <xf numFmtId="49" fontId="30" fillId="5" borderId="9" xfId="39" applyNumberFormat="1" applyFont="1" applyFill="1" applyBorder="1" applyAlignment="1">
      <alignment horizontal="left" vertical="center"/>
    </xf>
    <xf numFmtId="49" fontId="30" fillId="5" borderId="11" xfId="39" applyNumberFormat="1" applyFont="1" applyFill="1" applyBorder="1" applyAlignment="1">
      <alignment horizontal="left" vertical="center"/>
    </xf>
    <xf numFmtId="49" fontId="22" fillId="5" borderId="10" xfId="39" applyNumberFormat="1" applyFont="1" applyFill="1" applyBorder="1" applyAlignment="1">
      <alignment horizontal="left" vertical="center"/>
    </xf>
    <xf numFmtId="49" fontId="30" fillId="5" borderId="9" xfId="0" applyNumberFormat="1" applyFont="1" applyFill="1" applyBorder="1" applyAlignment="1">
      <alignment horizontal="right" vertical="center"/>
    </xf>
    <xf numFmtId="49" fontId="30" fillId="5" borderId="11" xfId="0" applyNumberFormat="1" applyFont="1" applyFill="1" applyBorder="1" applyAlignment="1">
      <alignment horizontal="right" vertical="center"/>
    </xf>
    <xf numFmtId="49" fontId="22" fillId="5" borderId="10" xfId="0" applyNumberFormat="1" applyFont="1" applyFill="1" applyBorder="1" applyAlignment="1">
      <alignment horizontal="right" vertical="center"/>
    </xf>
    <xf numFmtId="0" fontId="0" fillId="0" borderId="0" xfId="0" applyNumberFormat="1" applyFill="1" applyBorder="1" applyAlignment="1">
      <alignment horizontal="left" vertical="top"/>
    </xf>
    <xf numFmtId="14" fontId="30" fillId="5" borderId="0" xfId="0" applyNumberFormat="1" applyFont="1" applyFill="1" applyBorder="1" applyAlignment="1">
      <alignment horizontal="left" vertical="center"/>
    </xf>
    <xf numFmtId="0" fontId="30" fillId="5" borderId="9" xfId="0" applyNumberFormat="1" applyFont="1" applyFill="1" applyBorder="1" applyAlignment="1">
      <alignment horizontal="right" vertical="center"/>
    </xf>
    <xf numFmtId="0" fontId="0" fillId="6" borderId="0" xfId="0" applyNumberFormat="1" applyFill="1" applyAlignment="1">
      <alignment horizontal="right"/>
    </xf>
    <xf numFmtId="0" fontId="30" fillId="6" borderId="9" xfId="0" applyNumberFormat="1" applyFont="1" applyFill="1" applyBorder="1" applyAlignment="1">
      <alignment horizontal="right" vertical="center"/>
    </xf>
    <xf numFmtId="0" fontId="0" fillId="0" borderId="0" xfId="0" applyNumberFormat="1" applyFill="1" applyBorder="1" applyAlignment="1">
      <alignment horizontal="right"/>
    </xf>
    <xf numFmtId="0" fontId="0" fillId="0" borderId="0" xfId="0" applyNumberFormat="1" applyAlignment="1">
      <alignment horizontal="center"/>
    </xf>
    <xf numFmtId="166" fontId="8" fillId="0" borderId="6" xfId="9" applyFont="1" applyBorder="1" applyAlignment="1">
      <alignment horizontal="left"/>
    </xf>
  </cellXfs>
  <cellStyles count="56">
    <cellStyle name="Comma" xfId="1" builtinId="3"/>
    <cellStyle name="Comma [0] 2" xfId="43" xr:uid="{6CFBFE6A-1F87-47E5-95C2-3D944825AACB}"/>
    <cellStyle name="Comma 10" xfId="52" xr:uid="{6B74BA5A-5D00-4EA5-8787-F223D86C85DD}"/>
    <cellStyle name="Comma 11" xfId="54" xr:uid="{02C3A3BF-9A92-4E51-A787-D714E6695296}"/>
    <cellStyle name="Comma 12" xfId="55" xr:uid="{3E803476-00FE-4F5C-A828-CE9B8B6779AF}"/>
    <cellStyle name="Comma 2" xfId="2" xr:uid="{00000000-0005-0000-0000-000001000000}"/>
    <cellStyle name="Comma 2 2" xfId="18" xr:uid="{00000000-0005-0000-0000-000002000000}"/>
    <cellStyle name="Comma 2 3" xfId="17" xr:uid="{00000000-0005-0000-0000-000003000000}"/>
    <cellStyle name="Comma 3" xfId="3" xr:uid="{00000000-0005-0000-0000-000004000000}"/>
    <cellStyle name="Comma 3 2" xfId="20" xr:uid="{00000000-0005-0000-0000-000005000000}"/>
    <cellStyle name="Comma 3 3" xfId="19" xr:uid="{00000000-0005-0000-0000-000006000000}"/>
    <cellStyle name="Comma 4" xfId="14" xr:uid="{00000000-0005-0000-0000-000007000000}"/>
    <cellStyle name="Comma 4 2" xfId="22" xr:uid="{00000000-0005-0000-0000-000008000000}"/>
    <cellStyle name="Comma 4 3" xfId="21" xr:uid="{00000000-0005-0000-0000-000009000000}"/>
    <cellStyle name="Comma 5" xfId="23" xr:uid="{00000000-0005-0000-0000-00000A000000}"/>
    <cellStyle name="Comma 6" xfId="24" xr:uid="{00000000-0005-0000-0000-00000B000000}"/>
    <cellStyle name="Comma 7" xfId="46" xr:uid="{AEC322DF-FF12-4949-95EE-89D24EBA3511}"/>
    <cellStyle name="Comma 8" xfId="48" xr:uid="{7205AE5F-A594-429A-9232-4F29293CFD28}"/>
    <cellStyle name="Comma 9" xfId="50" xr:uid="{327D5579-B28C-4D0D-B017-CB88F9214981}"/>
    <cellStyle name="Currency [0] 2" xfId="42" xr:uid="{C7085B09-211E-454D-B979-985470D9EE85}"/>
    <cellStyle name="Currency 2" xfId="41" xr:uid="{368CB76A-8A3E-482B-B69A-B4F646AE6530}"/>
    <cellStyle name="Currency 3" xfId="44" xr:uid="{46C8F597-B56F-462B-844B-4586AAB8C837}"/>
    <cellStyle name="Currency 4" xfId="45" xr:uid="{9BA5C287-7847-4634-8B11-FC6521FB690D}"/>
    <cellStyle name="Currency 5" xfId="47" xr:uid="{BA0C1A29-5F24-4FAD-A02F-6E4CDAAEEF38}"/>
    <cellStyle name="Currency 6" xfId="49" xr:uid="{5D2D90C4-3CCC-483B-9D4C-368BB284A952}"/>
    <cellStyle name="Currency 7" xfId="51" xr:uid="{E8881DE2-2759-4682-85C3-066D7249AF67}"/>
    <cellStyle name="Currency 8" xfId="53" xr:uid="{EDE89362-A8FB-4265-9A14-7CA55FFADB1D}"/>
    <cellStyle name="Header1" xfId="4" xr:uid="{00000000-0005-0000-0000-00000C000000}"/>
    <cellStyle name="Header2" xfId="5" xr:uid="{00000000-0005-0000-0000-00000D000000}"/>
    <cellStyle name="Hyperlink" xfId="37" builtinId="8"/>
    <cellStyle name="Normal" xfId="0" builtinId="0"/>
    <cellStyle name="Normal 10" xfId="16" xr:uid="{00000000-0005-0000-0000-000010000000}"/>
    <cellStyle name="Normal 11" xfId="33" xr:uid="{00000000-0005-0000-0000-000011000000}"/>
    <cellStyle name="Normal 12" xfId="34" xr:uid="{00000000-0005-0000-0000-000012000000}"/>
    <cellStyle name="Normal 13" xfId="35" xr:uid="{00000000-0005-0000-0000-000013000000}"/>
    <cellStyle name="Normal 14" xfId="36" xr:uid="{00000000-0005-0000-0000-000014000000}"/>
    <cellStyle name="Normal 15" xfId="38" xr:uid="{7A80A465-B2C0-4291-8796-8676D612AFD8}"/>
    <cellStyle name="Normal 16" xfId="39" xr:uid="{3D537F97-3E0C-4FD7-A7AE-A2B959AFDF6D}"/>
    <cellStyle name="Normal 2" xfId="6" xr:uid="{00000000-0005-0000-0000-000015000000}"/>
    <cellStyle name="Normal 3" xfId="7" xr:uid="{00000000-0005-0000-0000-000016000000}"/>
    <cellStyle name="Normal 3 2" xfId="26" xr:uid="{00000000-0005-0000-0000-000017000000}"/>
    <cellStyle name="Normal 3 3" xfId="25" xr:uid="{00000000-0005-0000-0000-000018000000}"/>
    <cellStyle name="Normal 4" xfId="8" xr:uid="{00000000-0005-0000-0000-000019000000}"/>
    <cellStyle name="Normal 4 2" xfId="28" xr:uid="{00000000-0005-0000-0000-00001A000000}"/>
    <cellStyle name="Normal 4 3" xfId="27" xr:uid="{00000000-0005-0000-0000-00001B000000}"/>
    <cellStyle name="Normal 5" xfId="11" xr:uid="{00000000-0005-0000-0000-00001C000000}"/>
    <cellStyle name="Normal 6" xfId="12" xr:uid="{00000000-0005-0000-0000-00001D000000}"/>
    <cellStyle name="Normal 7" xfId="13" xr:uid="{00000000-0005-0000-0000-00001E000000}"/>
    <cellStyle name="Normal 7 2" xfId="30" xr:uid="{00000000-0005-0000-0000-00001F000000}"/>
    <cellStyle name="Normal 7 3" xfId="29" xr:uid="{00000000-0005-0000-0000-000020000000}"/>
    <cellStyle name="Normal 8" xfId="15" xr:uid="{00000000-0005-0000-0000-000021000000}"/>
    <cellStyle name="Normal 8 2" xfId="31" xr:uid="{00000000-0005-0000-0000-000022000000}"/>
    <cellStyle name="Normal 9" xfId="32" xr:uid="{00000000-0005-0000-0000-000023000000}"/>
    <cellStyle name="Normal_BS Reconciliaion Template (2)" xfId="9" xr:uid="{00000000-0005-0000-0000-000024000000}"/>
    <cellStyle name="Normal_Sheet1" xfId="10" xr:uid="{00000000-0005-0000-0000-000025000000}"/>
    <cellStyle name="Percent 2" xfId="40" xr:uid="{3243CAF5-3AE5-47EF-B2DA-410C40297118}"/>
  </cellStyles>
  <dxfs count="1">
    <dxf>
      <font>
        <b/>
        <i val="0"/>
        <color rgb="FFFF0000"/>
        <name val="Cambria"/>
        <scheme val="none"/>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30256</xdr:rowOff>
    </xdr:from>
    <xdr:to>
      <xdr:col>2</xdr:col>
      <xdr:colOff>936812</xdr:colOff>
      <xdr:row>2</xdr:row>
      <xdr:rowOff>230281</xdr:rowOff>
    </xdr:to>
    <xdr:pic>
      <xdr:nvPicPr>
        <xdr:cNvPr id="2" name="Picture 1" descr="Westfield Logo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0256"/>
          <a:ext cx="1717862"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printerSettings" Target="../printerSettings/printerSettings13.bin"/><Relationship Id="rId18" Type="http://schemas.openxmlformats.org/officeDocument/2006/relationships/printerSettings" Target="../printerSettings/printerSettings18.bin"/><Relationship Id="rId3" Type="http://schemas.openxmlformats.org/officeDocument/2006/relationships/printerSettings" Target="../printerSettings/printerSettings3.bin"/><Relationship Id="rId21" Type="http://schemas.openxmlformats.org/officeDocument/2006/relationships/printerSettings" Target="../printerSettings/printerSettings21.bin"/><Relationship Id="rId7" Type="http://schemas.openxmlformats.org/officeDocument/2006/relationships/printerSettings" Target="../printerSettings/printerSettings7.bin"/><Relationship Id="rId12" Type="http://schemas.openxmlformats.org/officeDocument/2006/relationships/printerSettings" Target="../printerSettings/printerSettings12.bin"/><Relationship Id="rId17" Type="http://schemas.openxmlformats.org/officeDocument/2006/relationships/printerSettings" Target="../printerSettings/printerSettings17.bin"/><Relationship Id="rId25" Type="http://schemas.openxmlformats.org/officeDocument/2006/relationships/drawing" Target="../drawings/drawing1.xml"/><Relationship Id="rId2" Type="http://schemas.openxmlformats.org/officeDocument/2006/relationships/printerSettings" Target="../printerSettings/printerSettings2.bin"/><Relationship Id="rId16" Type="http://schemas.openxmlformats.org/officeDocument/2006/relationships/printerSettings" Target="../printerSettings/printerSettings16.bin"/><Relationship Id="rId20" Type="http://schemas.openxmlformats.org/officeDocument/2006/relationships/printerSettings" Target="../printerSettings/printerSettings20.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printerSettings" Target="../printerSettings/printerSettings11.bin"/><Relationship Id="rId24" Type="http://schemas.openxmlformats.org/officeDocument/2006/relationships/customProperty" Target="../customProperty2.bin"/><Relationship Id="rId5" Type="http://schemas.openxmlformats.org/officeDocument/2006/relationships/printerSettings" Target="../printerSettings/printerSettings5.bin"/><Relationship Id="rId15" Type="http://schemas.openxmlformats.org/officeDocument/2006/relationships/printerSettings" Target="../printerSettings/printerSettings15.bin"/><Relationship Id="rId23" Type="http://schemas.openxmlformats.org/officeDocument/2006/relationships/customProperty" Target="../customProperty1.bin"/><Relationship Id="rId10" Type="http://schemas.openxmlformats.org/officeDocument/2006/relationships/printerSettings" Target="../printerSettings/printerSettings10.bin"/><Relationship Id="rId19" Type="http://schemas.openxmlformats.org/officeDocument/2006/relationships/printerSettings" Target="../printerSettings/printerSettings19.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 Id="rId14" Type="http://schemas.openxmlformats.org/officeDocument/2006/relationships/printerSettings" Target="../printerSettings/printerSettings14.bin"/><Relationship Id="rId22"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30.bin"/><Relationship Id="rId13" Type="http://schemas.openxmlformats.org/officeDocument/2006/relationships/printerSettings" Target="../printerSettings/printerSettings35.bin"/><Relationship Id="rId18" Type="http://schemas.openxmlformats.org/officeDocument/2006/relationships/printerSettings" Target="../printerSettings/printerSettings40.bin"/><Relationship Id="rId3" Type="http://schemas.openxmlformats.org/officeDocument/2006/relationships/printerSettings" Target="../printerSettings/printerSettings25.bin"/><Relationship Id="rId21" Type="http://schemas.openxmlformats.org/officeDocument/2006/relationships/printerSettings" Target="../printerSettings/printerSettings43.bin"/><Relationship Id="rId7" Type="http://schemas.openxmlformats.org/officeDocument/2006/relationships/printerSettings" Target="../printerSettings/printerSettings29.bin"/><Relationship Id="rId12" Type="http://schemas.openxmlformats.org/officeDocument/2006/relationships/printerSettings" Target="../printerSettings/printerSettings34.bin"/><Relationship Id="rId17" Type="http://schemas.openxmlformats.org/officeDocument/2006/relationships/printerSettings" Target="../printerSettings/printerSettings39.bin"/><Relationship Id="rId2" Type="http://schemas.openxmlformats.org/officeDocument/2006/relationships/printerSettings" Target="../printerSettings/printerSettings24.bin"/><Relationship Id="rId16" Type="http://schemas.openxmlformats.org/officeDocument/2006/relationships/printerSettings" Target="../printerSettings/printerSettings38.bin"/><Relationship Id="rId20" Type="http://schemas.openxmlformats.org/officeDocument/2006/relationships/printerSettings" Target="../printerSettings/printerSettings42.bin"/><Relationship Id="rId1" Type="http://schemas.openxmlformats.org/officeDocument/2006/relationships/printerSettings" Target="../printerSettings/printerSettings23.bin"/><Relationship Id="rId6" Type="http://schemas.openxmlformats.org/officeDocument/2006/relationships/printerSettings" Target="../printerSettings/printerSettings28.bin"/><Relationship Id="rId11" Type="http://schemas.openxmlformats.org/officeDocument/2006/relationships/printerSettings" Target="../printerSettings/printerSettings33.bin"/><Relationship Id="rId5" Type="http://schemas.openxmlformats.org/officeDocument/2006/relationships/printerSettings" Target="../printerSettings/printerSettings27.bin"/><Relationship Id="rId15" Type="http://schemas.openxmlformats.org/officeDocument/2006/relationships/printerSettings" Target="../printerSettings/printerSettings37.bin"/><Relationship Id="rId23" Type="http://schemas.openxmlformats.org/officeDocument/2006/relationships/customProperty" Target="../customProperty4.bin"/><Relationship Id="rId10" Type="http://schemas.openxmlformats.org/officeDocument/2006/relationships/printerSettings" Target="../printerSettings/printerSettings32.bin"/><Relationship Id="rId19" Type="http://schemas.openxmlformats.org/officeDocument/2006/relationships/printerSettings" Target="../printerSettings/printerSettings41.bin"/><Relationship Id="rId4" Type="http://schemas.openxmlformats.org/officeDocument/2006/relationships/printerSettings" Target="../printerSettings/printerSettings26.bin"/><Relationship Id="rId9" Type="http://schemas.openxmlformats.org/officeDocument/2006/relationships/printerSettings" Target="../printerSettings/printerSettings31.bin"/><Relationship Id="rId14" Type="http://schemas.openxmlformats.org/officeDocument/2006/relationships/printerSettings" Target="../printerSettings/printerSettings36.bin"/><Relationship Id="rId22" Type="http://schemas.openxmlformats.org/officeDocument/2006/relationships/customProperty" Target="../customProperty3.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51.bin"/><Relationship Id="rId13" Type="http://schemas.openxmlformats.org/officeDocument/2006/relationships/printerSettings" Target="../printerSettings/printerSettings56.bin"/><Relationship Id="rId18" Type="http://schemas.openxmlformats.org/officeDocument/2006/relationships/printerSettings" Target="../printerSettings/printerSettings61.bin"/><Relationship Id="rId3" Type="http://schemas.openxmlformats.org/officeDocument/2006/relationships/printerSettings" Target="../printerSettings/printerSettings46.bin"/><Relationship Id="rId21" Type="http://schemas.openxmlformats.org/officeDocument/2006/relationships/printerSettings" Target="../printerSettings/printerSettings64.bin"/><Relationship Id="rId7" Type="http://schemas.openxmlformats.org/officeDocument/2006/relationships/printerSettings" Target="../printerSettings/printerSettings50.bin"/><Relationship Id="rId12" Type="http://schemas.openxmlformats.org/officeDocument/2006/relationships/printerSettings" Target="../printerSettings/printerSettings55.bin"/><Relationship Id="rId17" Type="http://schemas.openxmlformats.org/officeDocument/2006/relationships/printerSettings" Target="../printerSettings/printerSettings60.bin"/><Relationship Id="rId2" Type="http://schemas.openxmlformats.org/officeDocument/2006/relationships/printerSettings" Target="../printerSettings/printerSettings45.bin"/><Relationship Id="rId16" Type="http://schemas.openxmlformats.org/officeDocument/2006/relationships/printerSettings" Target="../printerSettings/printerSettings59.bin"/><Relationship Id="rId20" Type="http://schemas.openxmlformats.org/officeDocument/2006/relationships/printerSettings" Target="../printerSettings/printerSettings63.bin"/><Relationship Id="rId1" Type="http://schemas.openxmlformats.org/officeDocument/2006/relationships/printerSettings" Target="../printerSettings/printerSettings44.bin"/><Relationship Id="rId6" Type="http://schemas.openxmlformats.org/officeDocument/2006/relationships/printerSettings" Target="../printerSettings/printerSettings49.bin"/><Relationship Id="rId11" Type="http://schemas.openxmlformats.org/officeDocument/2006/relationships/printerSettings" Target="../printerSettings/printerSettings54.bin"/><Relationship Id="rId5" Type="http://schemas.openxmlformats.org/officeDocument/2006/relationships/printerSettings" Target="../printerSettings/printerSettings48.bin"/><Relationship Id="rId15" Type="http://schemas.openxmlformats.org/officeDocument/2006/relationships/printerSettings" Target="../printerSettings/printerSettings58.bin"/><Relationship Id="rId23" Type="http://schemas.openxmlformats.org/officeDocument/2006/relationships/customProperty" Target="../customProperty6.bin"/><Relationship Id="rId10" Type="http://schemas.openxmlformats.org/officeDocument/2006/relationships/printerSettings" Target="../printerSettings/printerSettings53.bin"/><Relationship Id="rId19" Type="http://schemas.openxmlformats.org/officeDocument/2006/relationships/printerSettings" Target="../printerSettings/printerSettings62.bin"/><Relationship Id="rId4" Type="http://schemas.openxmlformats.org/officeDocument/2006/relationships/printerSettings" Target="../printerSettings/printerSettings47.bin"/><Relationship Id="rId9" Type="http://schemas.openxmlformats.org/officeDocument/2006/relationships/printerSettings" Target="../printerSettings/printerSettings52.bin"/><Relationship Id="rId14" Type="http://schemas.openxmlformats.org/officeDocument/2006/relationships/printerSettings" Target="../printerSettings/printerSettings57.bin"/><Relationship Id="rId22" Type="http://schemas.openxmlformats.org/officeDocument/2006/relationships/customProperty" Target="../customProperty5.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72.bin"/><Relationship Id="rId13" Type="http://schemas.openxmlformats.org/officeDocument/2006/relationships/printerSettings" Target="../printerSettings/printerSettings77.bin"/><Relationship Id="rId18" Type="http://schemas.openxmlformats.org/officeDocument/2006/relationships/customProperty" Target="../customProperty9.bin"/><Relationship Id="rId3" Type="http://schemas.openxmlformats.org/officeDocument/2006/relationships/printerSettings" Target="../printerSettings/printerSettings67.bin"/><Relationship Id="rId7" Type="http://schemas.openxmlformats.org/officeDocument/2006/relationships/printerSettings" Target="../printerSettings/printerSettings71.bin"/><Relationship Id="rId12" Type="http://schemas.openxmlformats.org/officeDocument/2006/relationships/printerSettings" Target="../printerSettings/printerSettings76.bin"/><Relationship Id="rId17" Type="http://schemas.openxmlformats.org/officeDocument/2006/relationships/customProperty" Target="../customProperty8.bin"/><Relationship Id="rId2" Type="http://schemas.openxmlformats.org/officeDocument/2006/relationships/printerSettings" Target="../printerSettings/printerSettings66.bin"/><Relationship Id="rId16" Type="http://schemas.openxmlformats.org/officeDocument/2006/relationships/printerSettings" Target="../printerSettings/printerSettings80.bin"/><Relationship Id="rId1" Type="http://schemas.openxmlformats.org/officeDocument/2006/relationships/printerSettings" Target="../printerSettings/printerSettings65.bin"/><Relationship Id="rId6" Type="http://schemas.openxmlformats.org/officeDocument/2006/relationships/printerSettings" Target="../printerSettings/printerSettings70.bin"/><Relationship Id="rId11" Type="http://schemas.openxmlformats.org/officeDocument/2006/relationships/printerSettings" Target="../printerSettings/printerSettings75.bin"/><Relationship Id="rId5" Type="http://schemas.openxmlformats.org/officeDocument/2006/relationships/printerSettings" Target="../printerSettings/printerSettings69.bin"/><Relationship Id="rId15" Type="http://schemas.openxmlformats.org/officeDocument/2006/relationships/printerSettings" Target="../printerSettings/printerSettings79.bin"/><Relationship Id="rId10" Type="http://schemas.openxmlformats.org/officeDocument/2006/relationships/printerSettings" Target="../printerSettings/printerSettings74.bin"/><Relationship Id="rId4" Type="http://schemas.openxmlformats.org/officeDocument/2006/relationships/printerSettings" Target="../printerSettings/printerSettings68.bin"/><Relationship Id="rId9" Type="http://schemas.openxmlformats.org/officeDocument/2006/relationships/printerSettings" Target="../printerSettings/printerSettings73.bin"/><Relationship Id="rId14" Type="http://schemas.openxmlformats.org/officeDocument/2006/relationships/printerSettings" Target="../printerSettings/printerSettings78.bin"/></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1.bin"/><Relationship Id="rId2" Type="http://schemas.openxmlformats.org/officeDocument/2006/relationships/customProperty" Target="../customProperty10.bin"/><Relationship Id="rId1" Type="http://schemas.openxmlformats.org/officeDocument/2006/relationships/printerSettings" Target="../printerSettings/printerSettings8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734"/>
  <sheetViews>
    <sheetView tabSelected="1" topLeftCell="B1" zoomScale="90" zoomScaleNormal="90" zoomScaleSheetLayoutView="100" workbookViewId="0">
      <pane ySplit="8" topLeftCell="A9" activePane="bottomLeft" state="frozen"/>
      <selection activeCell="C1" sqref="C1"/>
      <selection pane="bottomLeft" activeCell="G1" sqref="G1:G1048576"/>
    </sheetView>
  </sheetViews>
  <sheetFormatPr defaultColWidth="8.85546875" defaultRowHeight="12.75"/>
  <cols>
    <col min="1" max="1" width="12.28515625" style="16" customWidth="1"/>
    <col min="2" max="2" width="9.5703125" bestFit="1" customWidth="1"/>
    <col min="3" max="3" width="19.42578125" style="36" customWidth="1"/>
    <col min="4" max="4" width="19.7109375" style="23" bestFit="1" customWidth="1"/>
    <col min="5" max="5" width="14.42578125" style="70" customWidth="1"/>
    <col min="6" max="6" width="22.5703125" style="5" customWidth="1"/>
    <col min="7" max="7" width="21" style="123" bestFit="1" customWidth="1"/>
    <col min="8" max="8" width="16" style="114" customWidth="1"/>
    <col min="9" max="10" width="18.140625" style="27" customWidth="1"/>
    <col min="11" max="11" width="16.42578125" style="27" customWidth="1"/>
    <col min="12" max="12" width="16.5703125" style="172" bestFit="1" customWidth="1"/>
    <col min="13" max="13" width="21.42578125" style="42" customWidth="1"/>
    <col min="14" max="14" width="53.140625" style="38" customWidth="1"/>
    <col min="15" max="15" width="50.140625" style="16" customWidth="1"/>
    <col min="16" max="16" width="27.85546875" style="191" bestFit="1" customWidth="1"/>
    <col min="17" max="17" width="15.140625" style="191" bestFit="1" customWidth="1"/>
    <col min="18" max="18" width="14.42578125" style="191" bestFit="1" customWidth="1"/>
    <col min="19" max="16384" width="8.85546875" style="16"/>
  </cols>
  <sheetData>
    <row r="1" spans="1:18">
      <c r="K1" s="144"/>
      <c r="L1" s="168"/>
    </row>
    <row r="3" spans="1:18" ht="15">
      <c r="K3" s="15"/>
      <c r="L3" s="169"/>
      <c r="M3" s="105"/>
      <c r="N3" s="106"/>
    </row>
    <row r="4" spans="1:18" s="2" customFormat="1" ht="21" customHeight="1">
      <c r="B4" s="275" t="s">
        <v>12</v>
      </c>
      <c r="C4" s="275"/>
      <c r="D4" s="275"/>
      <c r="E4" s="122">
        <v>200330</v>
      </c>
      <c r="F4" s="28"/>
      <c r="G4" s="124"/>
      <c r="H4" s="125"/>
      <c r="I4" s="145"/>
      <c r="J4" s="145"/>
      <c r="K4" s="145"/>
      <c r="L4" s="170"/>
      <c r="M4" s="41" t="s">
        <v>730</v>
      </c>
      <c r="N4" s="39"/>
      <c r="P4" s="40"/>
      <c r="Q4" s="40"/>
      <c r="R4" s="40"/>
    </row>
    <row r="5" spans="1:18" s="2" customFormat="1" ht="21" customHeight="1">
      <c r="B5" s="275" t="s">
        <v>13</v>
      </c>
      <c r="C5" s="275"/>
      <c r="D5" s="275"/>
      <c r="E5" s="71" t="s">
        <v>5</v>
      </c>
      <c r="F5" s="29"/>
      <c r="G5" s="124"/>
      <c r="H5" s="125"/>
      <c r="I5" s="145"/>
      <c r="J5" s="145"/>
      <c r="K5" s="145"/>
      <c r="L5" s="170"/>
      <c r="M5" s="43"/>
      <c r="N5" s="39"/>
      <c r="P5" s="40"/>
      <c r="Q5" s="40"/>
      <c r="R5" s="40"/>
    </row>
    <row r="6" spans="1:18" s="2" customFormat="1" ht="21" customHeight="1">
      <c r="B6" s="275" t="s">
        <v>14</v>
      </c>
      <c r="C6" s="275"/>
      <c r="D6" s="275"/>
      <c r="E6" s="72">
        <v>44620</v>
      </c>
      <c r="F6" s="30"/>
      <c r="G6" s="124"/>
      <c r="H6" s="125"/>
      <c r="I6" s="145"/>
      <c r="J6" s="145"/>
      <c r="K6" s="145"/>
      <c r="L6" s="170"/>
      <c r="M6" s="43"/>
      <c r="N6" s="82"/>
      <c r="P6" s="40"/>
      <c r="Q6" s="40"/>
      <c r="R6" s="40"/>
    </row>
    <row r="7" spans="1:18" s="2" customFormat="1" ht="15">
      <c r="B7" s="3"/>
      <c r="C7" s="37"/>
      <c r="D7" s="35"/>
      <c r="E7" s="73"/>
      <c r="F7" s="31"/>
      <c r="G7" s="124"/>
      <c r="H7" s="125"/>
      <c r="I7" s="145"/>
      <c r="J7" s="145"/>
      <c r="K7" s="145"/>
      <c r="L7" s="170"/>
      <c r="M7" s="43"/>
      <c r="N7" s="39"/>
      <c r="P7" s="40"/>
      <c r="Q7" s="40"/>
      <c r="R7" s="40"/>
    </row>
    <row r="8" spans="1:18" s="1" customFormat="1" ht="25.5">
      <c r="A8" s="1" t="s">
        <v>1548</v>
      </c>
      <c r="B8" s="113" t="s">
        <v>6</v>
      </c>
      <c r="C8" s="46" t="s">
        <v>599</v>
      </c>
      <c r="D8" s="121" t="s">
        <v>7</v>
      </c>
      <c r="E8" s="64" t="s">
        <v>2</v>
      </c>
      <c r="F8" s="20" t="s">
        <v>10</v>
      </c>
      <c r="G8" s="121" t="s">
        <v>11</v>
      </c>
      <c r="H8" s="121" t="s">
        <v>8</v>
      </c>
      <c r="I8" s="146" t="s">
        <v>9</v>
      </c>
      <c r="J8" s="146" t="s">
        <v>3005</v>
      </c>
      <c r="K8" s="147" t="s">
        <v>4</v>
      </c>
      <c r="L8" s="171" t="s">
        <v>1214</v>
      </c>
      <c r="M8" s="44" t="s">
        <v>3</v>
      </c>
      <c r="N8" s="47" t="s">
        <v>30</v>
      </c>
      <c r="O8" s="224" t="s">
        <v>3004</v>
      </c>
      <c r="P8" s="192"/>
      <c r="Q8" s="192"/>
      <c r="R8" s="192"/>
    </row>
    <row r="9" spans="1:18" customFormat="1">
      <c r="A9" t="s">
        <v>664</v>
      </c>
      <c r="B9" s="114">
        <v>12204</v>
      </c>
      <c r="C9" s="36" t="s">
        <v>83</v>
      </c>
      <c r="D9" s="114">
        <v>196268</v>
      </c>
      <c r="E9" s="87">
        <v>43418</v>
      </c>
      <c r="F9" s="9" t="s">
        <v>836</v>
      </c>
      <c r="G9" s="126">
        <v>317155</v>
      </c>
      <c r="H9" s="139">
        <v>1277</v>
      </c>
      <c r="I9" s="4">
        <v>43374</v>
      </c>
      <c r="J9" s="4"/>
      <c r="K9" s="4">
        <v>43738</v>
      </c>
      <c r="L9" s="11">
        <v>15000</v>
      </c>
      <c r="M9" s="14">
        <f>-15000+15000</f>
        <v>0</v>
      </c>
      <c r="N9" s="92" t="s">
        <v>1217</v>
      </c>
      <c r="P9" s="191"/>
      <c r="Q9" s="191"/>
      <c r="R9" s="191"/>
    </row>
    <row r="10" spans="1:18" customFormat="1">
      <c r="A10" t="s">
        <v>664</v>
      </c>
      <c r="B10" s="114">
        <v>12204</v>
      </c>
      <c r="C10" s="36" t="s">
        <v>83</v>
      </c>
      <c r="D10" s="114">
        <v>196870</v>
      </c>
      <c r="E10" s="87">
        <v>43461</v>
      </c>
      <c r="F10" s="9" t="s">
        <v>1058</v>
      </c>
      <c r="G10" s="126">
        <v>926540</v>
      </c>
      <c r="H10" s="139">
        <v>111</v>
      </c>
      <c r="I10" s="4">
        <v>44136</v>
      </c>
      <c r="J10" s="4"/>
      <c r="K10" s="4">
        <v>44500</v>
      </c>
      <c r="L10" s="11">
        <v>50000</v>
      </c>
      <c r="M10" s="14">
        <v>-50000</v>
      </c>
      <c r="N10" s="13" t="s">
        <v>968</v>
      </c>
      <c r="P10" s="191"/>
      <c r="Q10" s="191"/>
      <c r="R10" s="191"/>
    </row>
    <row r="11" spans="1:18" customFormat="1" ht="25.5">
      <c r="A11" t="s">
        <v>664</v>
      </c>
      <c r="B11" s="114">
        <v>12204</v>
      </c>
      <c r="C11" s="36" t="s">
        <v>83</v>
      </c>
      <c r="D11" s="114">
        <v>211737</v>
      </c>
      <c r="E11" s="87">
        <v>43671</v>
      </c>
      <c r="F11" s="9" t="s">
        <v>26</v>
      </c>
      <c r="G11" s="126">
        <v>38748</v>
      </c>
      <c r="H11" s="139">
        <v>83</v>
      </c>
      <c r="I11" s="15">
        <v>43497</v>
      </c>
      <c r="J11" s="15"/>
      <c r="K11" s="4">
        <v>44348</v>
      </c>
      <c r="L11" s="11">
        <v>50000</v>
      </c>
      <c r="M11" s="14">
        <v>-50000</v>
      </c>
      <c r="N11" s="13" t="s">
        <v>1101</v>
      </c>
      <c r="P11" s="191"/>
      <c r="Q11" s="191"/>
      <c r="R11" s="191"/>
    </row>
    <row r="12" spans="1:18" customFormat="1">
      <c r="A12" t="s">
        <v>664</v>
      </c>
      <c r="B12" s="114">
        <v>12204</v>
      </c>
      <c r="C12" s="36" t="s">
        <v>83</v>
      </c>
      <c r="D12" s="114">
        <v>212492</v>
      </c>
      <c r="E12" s="87">
        <v>43709</v>
      </c>
      <c r="F12" s="9" t="s">
        <v>961</v>
      </c>
      <c r="G12" s="126">
        <v>928876</v>
      </c>
      <c r="H12" s="139">
        <v>204</v>
      </c>
      <c r="I12" s="15">
        <v>43862</v>
      </c>
      <c r="J12" s="15"/>
      <c r="K12" s="4">
        <v>44228</v>
      </c>
      <c r="L12" s="11">
        <v>700000</v>
      </c>
      <c r="M12" s="14">
        <f>-700000+233333.33+233333.33+33385.18+199948.16</f>
        <v>0</v>
      </c>
      <c r="N12" s="13" t="s">
        <v>1113</v>
      </c>
      <c r="P12" s="191"/>
      <c r="Q12" s="191"/>
      <c r="R12" s="191"/>
    </row>
    <row r="13" spans="1:18" customFormat="1">
      <c r="A13" t="s">
        <v>664</v>
      </c>
      <c r="B13" s="114">
        <v>12204</v>
      </c>
      <c r="C13" s="36" t="s">
        <v>83</v>
      </c>
      <c r="D13" s="114">
        <v>214844</v>
      </c>
      <c r="E13" s="87">
        <v>43847</v>
      </c>
      <c r="F13" s="9" t="s">
        <v>1097</v>
      </c>
      <c r="G13" s="126">
        <v>927798</v>
      </c>
      <c r="H13" s="139" t="s">
        <v>704</v>
      </c>
      <c r="I13" s="15">
        <v>43676</v>
      </c>
      <c r="J13" s="15"/>
      <c r="K13" s="4">
        <v>44042</v>
      </c>
      <c r="L13" s="11">
        <v>37240</v>
      </c>
      <c r="M13" s="14">
        <v>-37240</v>
      </c>
      <c r="N13" s="13" t="s">
        <v>986</v>
      </c>
      <c r="P13" s="191"/>
      <c r="Q13" s="191"/>
      <c r="R13" s="191"/>
    </row>
    <row r="14" spans="1:18" customFormat="1">
      <c r="A14" t="s">
        <v>664</v>
      </c>
      <c r="B14" s="114">
        <v>12204</v>
      </c>
      <c r="C14" s="36" t="s">
        <v>83</v>
      </c>
      <c r="D14" s="114">
        <v>215430</v>
      </c>
      <c r="E14" s="87">
        <v>43873</v>
      </c>
      <c r="F14" s="9" t="s">
        <v>1189</v>
      </c>
      <c r="G14" s="126">
        <v>930461</v>
      </c>
      <c r="H14" s="139">
        <v>1480</v>
      </c>
      <c r="I14" s="27">
        <v>43860</v>
      </c>
      <c r="J14" s="27"/>
      <c r="K14" s="4">
        <v>44226</v>
      </c>
      <c r="L14" s="11">
        <v>141040</v>
      </c>
      <c r="M14" s="14">
        <f>-141040+105780+35260</f>
        <v>0</v>
      </c>
      <c r="N14" s="13" t="s">
        <v>986</v>
      </c>
      <c r="P14" s="191"/>
      <c r="Q14" s="191"/>
      <c r="R14" s="191"/>
    </row>
    <row r="15" spans="1:18" customFormat="1" ht="14.25" customHeight="1">
      <c r="A15" t="s">
        <v>664</v>
      </c>
      <c r="B15" s="114">
        <v>12204</v>
      </c>
      <c r="C15" s="36" t="s">
        <v>83</v>
      </c>
      <c r="D15" s="114">
        <v>215431</v>
      </c>
      <c r="E15" s="87">
        <v>43873</v>
      </c>
      <c r="F15" s="9" t="s">
        <v>1190</v>
      </c>
      <c r="G15" s="126">
        <v>930868</v>
      </c>
      <c r="H15" s="139">
        <v>137</v>
      </c>
      <c r="I15" s="27">
        <v>43856</v>
      </c>
      <c r="J15" s="27"/>
      <c r="K15" s="4">
        <v>45716</v>
      </c>
      <c r="L15" s="11">
        <v>109750</v>
      </c>
      <c r="M15" s="14">
        <f>-109750+109750</f>
        <v>0</v>
      </c>
      <c r="N15" s="13" t="s">
        <v>986</v>
      </c>
      <c r="P15" s="191"/>
      <c r="Q15" s="191"/>
      <c r="R15" s="191"/>
    </row>
    <row r="16" spans="1:18" customFormat="1">
      <c r="A16" t="s">
        <v>664</v>
      </c>
      <c r="B16" s="114">
        <v>12204</v>
      </c>
      <c r="C16" s="36" t="s">
        <v>83</v>
      </c>
      <c r="D16" s="114">
        <v>214849</v>
      </c>
      <c r="E16" s="74">
        <v>43851</v>
      </c>
      <c r="F16" s="9" t="s">
        <v>824</v>
      </c>
      <c r="G16" s="126">
        <v>929104</v>
      </c>
      <c r="H16" s="176">
        <v>1330</v>
      </c>
      <c r="I16" s="150">
        <v>43877</v>
      </c>
      <c r="J16" s="150"/>
      <c r="K16" s="4"/>
      <c r="L16" s="11">
        <v>1462500</v>
      </c>
      <c r="M16" s="11">
        <f>-1462500+731250+365625+365625+243683.33</f>
        <v>243683.33</v>
      </c>
      <c r="N16" s="175" t="s">
        <v>1162</v>
      </c>
      <c r="P16" s="191"/>
      <c r="Q16" s="191"/>
      <c r="R16" s="191"/>
    </row>
    <row r="17" spans="1:18" customFormat="1">
      <c r="A17" t="s">
        <v>664</v>
      </c>
      <c r="B17" s="114">
        <v>12204</v>
      </c>
      <c r="C17" s="36" t="s">
        <v>83</v>
      </c>
      <c r="D17" s="114">
        <v>216411</v>
      </c>
      <c r="E17" s="87">
        <v>43949</v>
      </c>
      <c r="F17" s="9" t="s">
        <v>1241</v>
      </c>
      <c r="G17" s="126">
        <v>35919</v>
      </c>
      <c r="H17" s="139">
        <v>1901</v>
      </c>
      <c r="I17" s="27">
        <v>43851</v>
      </c>
      <c r="J17" s="27"/>
      <c r="K17" s="27">
        <v>45688</v>
      </c>
      <c r="L17" s="11">
        <v>835446</v>
      </c>
      <c r="M17" s="14">
        <f>-835446-1978.68+527394+1978.68</f>
        <v>-308052.00000000006</v>
      </c>
      <c r="N17" s="13" t="s">
        <v>970</v>
      </c>
      <c r="P17" s="191"/>
      <c r="Q17" s="191"/>
      <c r="R17" s="191"/>
    </row>
    <row r="18" spans="1:18" customFormat="1">
      <c r="A18" t="s">
        <v>664</v>
      </c>
      <c r="B18" s="114">
        <v>12204</v>
      </c>
      <c r="C18" s="36" t="s">
        <v>83</v>
      </c>
      <c r="D18" s="114">
        <v>216785</v>
      </c>
      <c r="E18" s="87">
        <v>43958</v>
      </c>
      <c r="F18" s="9" t="s">
        <v>1244</v>
      </c>
      <c r="G18" s="126">
        <v>931486</v>
      </c>
      <c r="H18" s="139">
        <v>112</v>
      </c>
      <c r="I18" s="15">
        <v>43952</v>
      </c>
      <c r="J18" s="15"/>
      <c r="K18" s="27"/>
      <c r="L18" s="183">
        <v>313318</v>
      </c>
      <c r="M18" s="14">
        <f>-313318+104439.33-579.99+579.99+104439.33+104439.34</f>
        <v>0</v>
      </c>
      <c r="N18" s="13" t="s">
        <v>1245</v>
      </c>
      <c r="P18" s="191"/>
      <c r="Q18" s="191"/>
      <c r="R18" s="191"/>
    </row>
    <row r="19" spans="1:18" customFormat="1" ht="14.1" customHeight="1">
      <c r="A19" t="s">
        <v>664</v>
      </c>
      <c r="B19" s="114">
        <v>12204</v>
      </c>
      <c r="C19" s="36" t="s">
        <v>83</v>
      </c>
      <c r="D19" s="114">
        <v>219130</v>
      </c>
      <c r="E19" s="87">
        <v>44032</v>
      </c>
      <c r="F19" s="9" t="s">
        <v>1250</v>
      </c>
      <c r="G19" s="126">
        <v>931170</v>
      </c>
      <c r="H19" s="139">
        <v>1270</v>
      </c>
      <c r="I19" s="27">
        <v>44531</v>
      </c>
      <c r="J19" s="27"/>
      <c r="K19" s="27">
        <v>44895</v>
      </c>
      <c r="L19" s="183">
        <v>486266.68</v>
      </c>
      <c r="M19" s="14">
        <f>162088.9-486266.68</f>
        <v>-324177.78000000003</v>
      </c>
      <c r="N19" s="13" t="s">
        <v>986</v>
      </c>
      <c r="O19" s="184"/>
      <c r="P19" s="191"/>
      <c r="Q19" s="191"/>
      <c r="R19" s="191"/>
    </row>
    <row r="20" spans="1:18" customFormat="1">
      <c r="A20" t="s">
        <v>664</v>
      </c>
      <c r="B20" s="114">
        <v>12204</v>
      </c>
      <c r="C20" s="36" t="s">
        <v>83</v>
      </c>
      <c r="D20" s="114">
        <v>220422</v>
      </c>
      <c r="E20" s="87">
        <v>44154</v>
      </c>
      <c r="F20" s="9" t="s">
        <v>1283</v>
      </c>
      <c r="G20" s="126">
        <v>931133</v>
      </c>
      <c r="H20" s="139">
        <v>134</v>
      </c>
      <c r="I20" s="27">
        <v>44002</v>
      </c>
      <c r="J20" s="27"/>
      <c r="K20" s="27">
        <v>44353</v>
      </c>
      <c r="L20" s="183">
        <v>5000</v>
      </c>
      <c r="M20" s="14">
        <v>-5000</v>
      </c>
      <c r="N20" s="13" t="s">
        <v>986</v>
      </c>
      <c r="P20" s="191"/>
      <c r="Q20" s="191"/>
      <c r="R20" s="191"/>
    </row>
    <row r="21" spans="1:18" customFormat="1">
      <c r="A21" t="s">
        <v>664</v>
      </c>
      <c r="B21" s="114">
        <v>12204</v>
      </c>
      <c r="C21" s="36" t="s">
        <v>83</v>
      </c>
      <c r="D21" s="114">
        <v>220423</v>
      </c>
      <c r="E21" s="87">
        <v>44166</v>
      </c>
      <c r="F21" s="9" t="s">
        <v>610</v>
      </c>
      <c r="G21" s="126">
        <v>35062</v>
      </c>
      <c r="H21" s="139">
        <v>146</v>
      </c>
      <c r="I21" s="27">
        <v>44082</v>
      </c>
      <c r="J21" s="27"/>
      <c r="K21" s="27"/>
      <c r="L21" s="183">
        <v>370000</v>
      </c>
      <c r="M21" s="14">
        <v>-370000</v>
      </c>
      <c r="N21" s="13" t="s">
        <v>2822</v>
      </c>
      <c r="P21" s="191"/>
      <c r="Q21" s="191"/>
      <c r="R21" s="191"/>
    </row>
    <row r="22" spans="1:18" customFormat="1">
      <c r="A22" t="s">
        <v>664</v>
      </c>
      <c r="B22" s="114">
        <v>12204</v>
      </c>
      <c r="C22" s="36" t="s">
        <v>83</v>
      </c>
      <c r="D22" s="152">
        <v>220749</v>
      </c>
      <c r="E22" s="87">
        <v>44239</v>
      </c>
      <c r="F22" s="9" t="s">
        <v>795</v>
      </c>
      <c r="G22" s="126">
        <v>931026</v>
      </c>
      <c r="H22" s="139" t="s">
        <v>40</v>
      </c>
      <c r="I22" s="27"/>
      <c r="J22" s="27"/>
      <c r="K22" s="27"/>
      <c r="L22" s="183">
        <v>75000</v>
      </c>
      <c r="M22" s="14">
        <f>-75000+75000</f>
        <v>0</v>
      </c>
      <c r="N22" s="13"/>
      <c r="P22" s="191"/>
      <c r="Q22" s="191"/>
      <c r="R22" s="191"/>
    </row>
    <row r="23" spans="1:18" customFormat="1">
      <c r="A23" t="s">
        <v>664</v>
      </c>
      <c r="B23" s="114">
        <v>12204</v>
      </c>
      <c r="C23" s="36" t="s">
        <v>83</v>
      </c>
      <c r="D23" s="152">
        <v>223550</v>
      </c>
      <c r="E23" s="87">
        <v>44575</v>
      </c>
      <c r="F23" s="9" t="s">
        <v>2986</v>
      </c>
      <c r="G23" s="126">
        <v>933709</v>
      </c>
      <c r="H23" s="139">
        <v>1810</v>
      </c>
      <c r="I23" s="27"/>
      <c r="J23" s="27"/>
      <c r="K23" s="27"/>
      <c r="L23" s="183">
        <v>20000</v>
      </c>
      <c r="M23" s="14">
        <v>-20000</v>
      </c>
      <c r="N23" s="13"/>
      <c r="P23" s="191"/>
      <c r="Q23" s="191"/>
      <c r="R23" s="191"/>
    </row>
    <row r="24" spans="1:18" s="6" customFormat="1">
      <c r="A24" t="s">
        <v>664</v>
      </c>
      <c r="B24" s="114">
        <v>12206</v>
      </c>
      <c r="C24" s="36" t="s">
        <v>85</v>
      </c>
      <c r="D24" s="114">
        <v>190953</v>
      </c>
      <c r="E24" s="66">
        <v>43190</v>
      </c>
      <c r="F24" s="5" t="s">
        <v>826</v>
      </c>
      <c r="G24" s="126">
        <v>922974</v>
      </c>
      <c r="H24" s="138">
        <v>940</v>
      </c>
      <c r="I24" s="15">
        <v>43227</v>
      </c>
      <c r="J24" s="15"/>
      <c r="K24" s="15">
        <v>43591</v>
      </c>
      <c r="L24" s="11">
        <v>6300</v>
      </c>
      <c r="M24" s="14">
        <f>-6300+6300</f>
        <v>0</v>
      </c>
      <c r="N24" s="13" t="s">
        <v>1217</v>
      </c>
      <c r="P24" s="191"/>
      <c r="Q24" s="191"/>
      <c r="R24" s="191"/>
    </row>
    <row r="25" spans="1:18" s="6" customFormat="1">
      <c r="A25" t="s">
        <v>664</v>
      </c>
      <c r="B25" s="114">
        <v>12206</v>
      </c>
      <c r="C25" s="36" t="s">
        <v>85</v>
      </c>
      <c r="D25" s="114">
        <v>192553</v>
      </c>
      <c r="E25" s="66">
        <v>43235</v>
      </c>
      <c r="F25" s="5" t="s">
        <v>658</v>
      </c>
      <c r="G25" s="126">
        <v>71785</v>
      </c>
      <c r="H25" s="138">
        <v>413</v>
      </c>
      <c r="I25" s="15">
        <v>43216</v>
      </c>
      <c r="J25" s="15"/>
      <c r="K25" s="15">
        <v>44316</v>
      </c>
      <c r="L25" s="11">
        <v>90000</v>
      </c>
      <c r="M25" s="14">
        <f>-90000+77507.28</f>
        <v>-12492.720000000001</v>
      </c>
      <c r="N25" s="13" t="s">
        <v>970</v>
      </c>
      <c r="P25" s="191"/>
      <c r="Q25" s="191"/>
      <c r="R25" s="191"/>
    </row>
    <row r="26" spans="1:18" s="6" customFormat="1">
      <c r="A26" t="s">
        <v>664</v>
      </c>
      <c r="B26" s="114">
        <v>12206</v>
      </c>
      <c r="C26" s="36" t="s">
        <v>85</v>
      </c>
      <c r="D26" s="114">
        <v>193236</v>
      </c>
      <c r="E26" s="66">
        <v>43281</v>
      </c>
      <c r="F26" s="111" t="s">
        <v>617</v>
      </c>
      <c r="G26" s="126">
        <v>922123</v>
      </c>
      <c r="H26" s="138">
        <v>545</v>
      </c>
      <c r="I26" s="15">
        <v>43192</v>
      </c>
      <c r="J26" s="15"/>
      <c r="K26" s="15">
        <v>43556</v>
      </c>
      <c r="L26" s="11">
        <v>10000</v>
      </c>
      <c r="M26" s="14">
        <v>-10000</v>
      </c>
      <c r="N26" s="13" t="s">
        <v>986</v>
      </c>
      <c r="P26" s="191"/>
      <c r="Q26" s="191"/>
      <c r="R26" s="191"/>
    </row>
    <row r="27" spans="1:18" s="6" customFormat="1">
      <c r="A27" t="s">
        <v>664</v>
      </c>
      <c r="B27" s="114">
        <v>12206</v>
      </c>
      <c r="C27" s="36" t="s">
        <v>85</v>
      </c>
      <c r="D27" s="114">
        <v>194745</v>
      </c>
      <c r="E27" s="66">
        <v>43327</v>
      </c>
      <c r="F27" s="111" t="s">
        <v>1034</v>
      </c>
      <c r="G27" s="126">
        <v>924953</v>
      </c>
      <c r="H27" s="138">
        <v>673</v>
      </c>
      <c r="I27" s="15">
        <v>43221</v>
      </c>
      <c r="J27" s="15"/>
      <c r="K27" s="15">
        <f>I27+365</f>
        <v>43586</v>
      </c>
      <c r="L27" s="11">
        <v>10000</v>
      </c>
      <c r="M27" s="14">
        <f>-10000+10000</f>
        <v>0</v>
      </c>
      <c r="N27" s="13" t="s">
        <v>1217</v>
      </c>
      <c r="P27" s="191"/>
      <c r="Q27" s="191"/>
      <c r="R27" s="191"/>
    </row>
    <row r="28" spans="1:18" s="6" customFormat="1">
      <c r="A28" t="s">
        <v>664</v>
      </c>
      <c r="B28" s="114">
        <v>12206</v>
      </c>
      <c r="C28" s="36" t="s">
        <v>85</v>
      </c>
      <c r="D28" s="114">
        <v>196873</v>
      </c>
      <c r="E28" s="66">
        <v>43462</v>
      </c>
      <c r="F28" s="111" t="s">
        <v>1058</v>
      </c>
      <c r="G28" s="126">
        <v>926542</v>
      </c>
      <c r="H28" s="138">
        <v>925</v>
      </c>
      <c r="I28" s="15">
        <v>44136</v>
      </c>
      <c r="J28" s="15"/>
      <c r="K28" s="15">
        <v>44500</v>
      </c>
      <c r="L28" s="11">
        <v>50000</v>
      </c>
      <c r="M28" s="14">
        <v>-50000</v>
      </c>
      <c r="N28" s="13" t="s">
        <v>1000</v>
      </c>
      <c r="P28" s="191"/>
      <c r="Q28" s="191"/>
      <c r="R28" s="191"/>
    </row>
    <row r="29" spans="1:18" s="6" customFormat="1">
      <c r="A29" t="s">
        <v>664</v>
      </c>
      <c r="B29" s="114">
        <v>12206</v>
      </c>
      <c r="C29" s="36" t="s">
        <v>85</v>
      </c>
      <c r="D29" s="114">
        <v>197706</v>
      </c>
      <c r="E29" s="66">
        <v>43551</v>
      </c>
      <c r="F29" s="111" t="s">
        <v>1078</v>
      </c>
      <c r="G29" s="126">
        <v>926577</v>
      </c>
      <c r="H29" s="138">
        <v>9050</v>
      </c>
      <c r="I29" s="49">
        <v>43497</v>
      </c>
      <c r="J29" s="49"/>
      <c r="K29" s="15"/>
      <c r="L29" s="11">
        <v>35000</v>
      </c>
      <c r="M29" s="14">
        <f>-35000+35000</f>
        <v>0</v>
      </c>
      <c r="N29" s="13" t="s">
        <v>1217</v>
      </c>
      <c r="P29" s="191"/>
      <c r="Q29" s="191"/>
      <c r="R29" s="191"/>
    </row>
    <row r="30" spans="1:18" s="6" customFormat="1">
      <c r="A30" t="s">
        <v>664</v>
      </c>
      <c r="B30" s="114">
        <v>12206</v>
      </c>
      <c r="C30" s="36" t="s">
        <v>85</v>
      </c>
      <c r="D30" s="114">
        <v>211701</v>
      </c>
      <c r="E30" s="66">
        <v>43657</v>
      </c>
      <c r="F30" s="111" t="s">
        <v>1096</v>
      </c>
      <c r="G30" s="126">
        <v>927768</v>
      </c>
      <c r="H30" s="138">
        <v>424</v>
      </c>
      <c r="I30" s="15">
        <v>43647</v>
      </c>
      <c r="J30" s="15"/>
      <c r="K30" s="15">
        <v>44014</v>
      </c>
      <c r="L30" s="11">
        <v>25000</v>
      </c>
      <c r="M30" s="14">
        <f>-25000+24671.25</f>
        <v>-328.75</v>
      </c>
      <c r="N30" s="13" t="s">
        <v>986</v>
      </c>
      <c r="P30" s="191"/>
      <c r="Q30" s="191"/>
      <c r="R30" s="191"/>
    </row>
    <row r="31" spans="1:18" s="6" customFormat="1">
      <c r="A31" t="s">
        <v>664</v>
      </c>
      <c r="B31" s="114">
        <v>12206</v>
      </c>
      <c r="C31" s="36" t="s">
        <v>85</v>
      </c>
      <c r="D31" s="114">
        <v>214679</v>
      </c>
      <c r="E31" s="66">
        <v>43801</v>
      </c>
      <c r="F31" s="111" t="s">
        <v>806</v>
      </c>
      <c r="G31" s="126">
        <v>928635</v>
      </c>
      <c r="H31" s="138">
        <v>964</v>
      </c>
      <c r="I31" s="15">
        <v>43678</v>
      </c>
      <c r="J31" s="15">
        <v>43709</v>
      </c>
      <c r="K31" s="15">
        <v>44074</v>
      </c>
      <c r="L31" s="11">
        <v>75000</v>
      </c>
      <c r="M31" s="14">
        <f>-75000+75000</f>
        <v>0</v>
      </c>
      <c r="N31" s="13" t="s">
        <v>986</v>
      </c>
      <c r="O31" s="6" t="s">
        <v>3006</v>
      </c>
      <c r="P31" s="191"/>
      <c r="Q31" s="191"/>
      <c r="R31" s="191"/>
    </row>
    <row r="32" spans="1:18" s="6" customFormat="1">
      <c r="A32" t="s">
        <v>664</v>
      </c>
      <c r="B32" s="114">
        <v>12206</v>
      </c>
      <c r="C32" s="36" t="s">
        <v>85</v>
      </c>
      <c r="D32" s="114">
        <v>215381</v>
      </c>
      <c r="E32" s="66">
        <v>43868</v>
      </c>
      <c r="F32" s="111" t="s">
        <v>1152</v>
      </c>
      <c r="G32" s="126">
        <v>929545</v>
      </c>
      <c r="H32" s="138" t="s">
        <v>16</v>
      </c>
      <c r="I32" s="15">
        <v>43836</v>
      </c>
      <c r="J32" s="15">
        <v>43836</v>
      </c>
      <c r="K32" s="15">
        <v>44201</v>
      </c>
      <c r="L32" s="11">
        <v>7873.2</v>
      </c>
      <c r="M32" s="14">
        <v>-7873.2</v>
      </c>
      <c r="N32" s="13" t="s">
        <v>986</v>
      </c>
      <c r="O32" s="6" t="s">
        <v>3006</v>
      </c>
      <c r="P32" s="191"/>
      <c r="Q32" s="191"/>
      <c r="R32" s="191"/>
    </row>
    <row r="33" spans="1:18" s="6" customFormat="1">
      <c r="A33" t="s">
        <v>664</v>
      </c>
      <c r="B33" s="114">
        <v>12206</v>
      </c>
      <c r="C33" s="36" t="s">
        <v>85</v>
      </c>
      <c r="D33" s="114">
        <v>215087</v>
      </c>
      <c r="E33" s="66">
        <v>43871</v>
      </c>
      <c r="F33" s="111" t="s">
        <v>1191</v>
      </c>
      <c r="G33" s="126">
        <v>929035</v>
      </c>
      <c r="H33" s="138">
        <v>581</v>
      </c>
      <c r="I33" s="15">
        <v>43739</v>
      </c>
      <c r="J33" s="15">
        <v>43798</v>
      </c>
      <c r="K33" s="15">
        <v>44104</v>
      </c>
      <c r="L33" s="11">
        <v>28800</v>
      </c>
      <c r="M33" s="14">
        <f>-28800+10155.57+11307.43</f>
        <v>-7337</v>
      </c>
      <c r="N33" s="13" t="s">
        <v>986</v>
      </c>
      <c r="O33" s="6" t="s">
        <v>3006</v>
      </c>
      <c r="P33" s="191"/>
      <c r="Q33" s="191"/>
      <c r="R33" s="191"/>
    </row>
    <row r="34" spans="1:18" s="6" customFormat="1">
      <c r="A34" t="s">
        <v>664</v>
      </c>
      <c r="B34" s="114">
        <v>12206</v>
      </c>
      <c r="C34" s="36" t="s">
        <v>85</v>
      </c>
      <c r="D34" s="114">
        <v>216238</v>
      </c>
      <c r="E34" s="66">
        <v>43923</v>
      </c>
      <c r="F34" s="111" t="s">
        <v>1234</v>
      </c>
      <c r="G34" s="126">
        <v>930370</v>
      </c>
      <c r="H34" s="138" t="s">
        <v>45</v>
      </c>
      <c r="I34" s="15"/>
      <c r="J34" s="15"/>
      <c r="K34" s="15"/>
      <c r="L34" s="11">
        <v>31050</v>
      </c>
      <c r="M34" s="14">
        <f>-31050+31050</f>
        <v>0</v>
      </c>
      <c r="N34" s="13" t="s">
        <v>986</v>
      </c>
      <c r="P34" s="191"/>
      <c r="Q34" s="191"/>
      <c r="R34" s="191"/>
    </row>
    <row r="35" spans="1:18" s="6" customFormat="1">
      <c r="A35" t="s">
        <v>664</v>
      </c>
      <c r="B35" s="114">
        <v>12206</v>
      </c>
      <c r="C35" s="36" t="s">
        <v>85</v>
      </c>
      <c r="D35" s="114">
        <v>220329</v>
      </c>
      <c r="E35" s="66">
        <v>44196</v>
      </c>
      <c r="F35" s="111" t="s">
        <v>1310</v>
      </c>
      <c r="G35" s="126">
        <v>932053</v>
      </c>
      <c r="H35" s="138">
        <v>628</v>
      </c>
      <c r="I35" s="15">
        <v>44071</v>
      </c>
      <c r="J35" s="15">
        <v>44071</v>
      </c>
      <c r="K35" s="15">
        <v>44435</v>
      </c>
      <c r="L35" s="11">
        <v>5000</v>
      </c>
      <c r="M35" s="14">
        <v>-5000</v>
      </c>
      <c r="N35" s="13" t="s">
        <v>986</v>
      </c>
      <c r="O35" s="6" t="s">
        <v>3006</v>
      </c>
      <c r="P35" s="191"/>
      <c r="Q35" s="191"/>
      <c r="R35" s="191"/>
    </row>
    <row r="36" spans="1:18" s="6" customFormat="1">
      <c r="A36" t="s">
        <v>664</v>
      </c>
      <c r="B36" s="114">
        <v>12206</v>
      </c>
      <c r="C36" s="36" t="s">
        <v>85</v>
      </c>
      <c r="D36" s="114">
        <v>220331</v>
      </c>
      <c r="E36" s="66">
        <v>44196</v>
      </c>
      <c r="F36" s="111" t="s">
        <v>1311</v>
      </c>
      <c r="G36" s="126">
        <v>931473</v>
      </c>
      <c r="H36" s="138"/>
      <c r="I36" s="15"/>
      <c r="J36" s="15"/>
      <c r="K36" s="15"/>
      <c r="L36" s="11">
        <v>15000</v>
      </c>
      <c r="M36" s="14">
        <f>-15000+15000</f>
        <v>0</v>
      </c>
      <c r="N36" s="13"/>
      <c r="P36" s="191"/>
      <c r="Q36" s="191"/>
      <c r="R36" s="191"/>
    </row>
    <row r="37" spans="1:18" s="6" customFormat="1">
      <c r="A37" t="s">
        <v>664</v>
      </c>
      <c r="B37" s="114">
        <v>12206</v>
      </c>
      <c r="C37" s="36" t="s">
        <v>85</v>
      </c>
      <c r="D37" s="152">
        <v>221639</v>
      </c>
      <c r="E37" s="66"/>
      <c r="F37" s="111" t="s">
        <v>1786</v>
      </c>
      <c r="G37" s="126">
        <v>932341</v>
      </c>
      <c r="H37" s="138"/>
      <c r="I37" s="15"/>
      <c r="J37" s="15"/>
      <c r="K37" s="15"/>
      <c r="L37" s="11">
        <v>20000</v>
      </c>
      <c r="M37" s="14">
        <f>-20000+15473.91+4526.09</f>
        <v>0</v>
      </c>
      <c r="N37" s="13"/>
      <c r="P37" s="191"/>
      <c r="Q37" s="191"/>
      <c r="R37" s="191"/>
    </row>
    <row r="38" spans="1:18" s="6" customFormat="1">
      <c r="A38" t="s">
        <v>664</v>
      </c>
      <c r="B38" s="114">
        <v>12206</v>
      </c>
      <c r="C38" s="36" t="s">
        <v>85</v>
      </c>
      <c r="D38" s="152">
        <v>220752</v>
      </c>
      <c r="E38" s="66"/>
      <c r="F38" s="111" t="s">
        <v>1872</v>
      </c>
      <c r="G38" s="126">
        <v>931535</v>
      </c>
      <c r="H38" s="138"/>
      <c r="I38" s="15"/>
      <c r="J38" s="15"/>
      <c r="K38" s="15"/>
      <c r="L38" s="11">
        <v>55000</v>
      </c>
      <c r="M38" s="14">
        <f>-55000+55000</f>
        <v>0</v>
      </c>
      <c r="N38" s="13"/>
      <c r="P38" s="191"/>
      <c r="Q38" s="191"/>
      <c r="R38" s="191"/>
    </row>
    <row r="39" spans="1:18" s="6" customFormat="1">
      <c r="A39" s="5" t="s">
        <v>664</v>
      </c>
      <c r="B39" s="116">
        <v>12206</v>
      </c>
      <c r="C39" s="58" t="s">
        <v>85</v>
      </c>
      <c r="D39" s="116">
        <v>221929</v>
      </c>
      <c r="E39" s="66">
        <v>44378</v>
      </c>
      <c r="F39" s="111" t="s">
        <v>2103</v>
      </c>
      <c r="G39" s="130">
        <v>931603</v>
      </c>
      <c r="H39" s="138">
        <v>775</v>
      </c>
      <c r="I39" s="15">
        <v>44501</v>
      </c>
      <c r="J39" s="15"/>
      <c r="K39" s="15">
        <v>44865</v>
      </c>
      <c r="L39" s="14">
        <v>1200000</v>
      </c>
      <c r="M39" s="14">
        <f>-1200000</f>
        <v>-1200000</v>
      </c>
      <c r="N39" s="13" t="s">
        <v>986</v>
      </c>
      <c r="O39" s="6" t="s">
        <v>3007</v>
      </c>
      <c r="P39" s="191"/>
      <c r="Q39" s="191"/>
      <c r="R39" s="191"/>
    </row>
    <row r="40" spans="1:18" s="6" customFormat="1">
      <c r="A40" s="5" t="s">
        <v>664</v>
      </c>
      <c r="B40" s="116">
        <v>12206</v>
      </c>
      <c r="C40" s="58" t="s">
        <v>85</v>
      </c>
      <c r="D40" s="116">
        <v>221181</v>
      </c>
      <c r="E40" s="66">
        <v>44287</v>
      </c>
      <c r="F40" s="111" t="s">
        <v>1722</v>
      </c>
      <c r="G40" s="130">
        <v>931839</v>
      </c>
      <c r="H40" s="138"/>
      <c r="I40" s="15"/>
      <c r="J40" s="15"/>
      <c r="K40" s="15"/>
      <c r="L40" s="14">
        <v>35000</v>
      </c>
      <c r="M40" s="14">
        <f>-35000+34345.88+654.12</f>
        <v>-2.6147972675971687E-12</v>
      </c>
      <c r="N40" s="13"/>
      <c r="P40" s="191"/>
      <c r="Q40" s="191"/>
      <c r="R40" s="191"/>
    </row>
    <row r="41" spans="1:18" ht="13.5" customHeight="1">
      <c r="A41" t="s">
        <v>664</v>
      </c>
      <c r="B41" s="115">
        <v>12211</v>
      </c>
      <c r="C41" s="54" t="s">
        <v>90</v>
      </c>
      <c r="D41" s="114">
        <v>184572</v>
      </c>
      <c r="E41" s="65">
        <v>42863</v>
      </c>
      <c r="F41" t="s">
        <v>974</v>
      </c>
      <c r="G41" s="126" t="s">
        <v>975</v>
      </c>
      <c r="H41" s="128" t="s">
        <v>40</v>
      </c>
      <c r="I41" s="67">
        <v>42997</v>
      </c>
      <c r="J41" s="67">
        <v>42997</v>
      </c>
      <c r="K41" s="26">
        <v>43361</v>
      </c>
      <c r="L41" s="11">
        <v>60000</v>
      </c>
      <c r="M41" s="14">
        <f>-60000+60000</f>
        <v>0</v>
      </c>
      <c r="N41" s="154" t="s">
        <v>1044</v>
      </c>
      <c r="O41" s="16" t="s">
        <v>3006</v>
      </c>
    </row>
    <row r="42" spans="1:18">
      <c r="A42" t="s">
        <v>664</v>
      </c>
      <c r="B42" s="115">
        <v>12211</v>
      </c>
      <c r="C42" s="54" t="s">
        <v>90</v>
      </c>
      <c r="D42" s="114">
        <v>214672</v>
      </c>
      <c r="E42" s="65">
        <v>43801</v>
      </c>
      <c r="F42" t="s">
        <v>1126</v>
      </c>
      <c r="G42" s="126">
        <v>929105</v>
      </c>
      <c r="H42" s="128">
        <v>2900</v>
      </c>
      <c r="I42" s="53">
        <v>43742</v>
      </c>
      <c r="J42" s="53"/>
      <c r="K42" s="26">
        <v>44838</v>
      </c>
      <c r="L42" s="11">
        <v>93555</v>
      </c>
      <c r="M42" s="14">
        <v>-93555</v>
      </c>
      <c r="N42" s="52" t="s">
        <v>1127</v>
      </c>
      <c r="O42" s="16" t="s">
        <v>3007</v>
      </c>
    </row>
    <row r="43" spans="1:18">
      <c r="A43" t="s">
        <v>664</v>
      </c>
      <c r="B43" s="115">
        <v>12211</v>
      </c>
      <c r="C43" s="54" t="s">
        <v>90</v>
      </c>
      <c r="D43" s="114">
        <v>214683</v>
      </c>
      <c r="E43" s="65">
        <v>43802</v>
      </c>
      <c r="F43" t="s">
        <v>820</v>
      </c>
      <c r="G43" s="126">
        <v>929036</v>
      </c>
      <c r="H43" s="128">
        <v>1370</v>
      </c>
      <c r="I43" s="53">
        <v>43709</v>
      </c>
      <c r="J43" s="53">
        <v>43709</v>
      </c>
      <c r="K43" s="26">
        <v>44074</v>
      </c>
      <c r="L43" s="11">
        <v>559000</v>
      </c>
      <c r="M43" s="14">
        <f>-559000+559000</f>
        <v>0</v>
      </c>
      <c r="N43" s="52" t="s">
        <v>986</v>
      </c>
      <c r="O43" s="16" t="s">
        <v>3006</v>
      </c>
      <c r="Q43" s="195"/>
      <c r="R43" s="195"/>
    </row>
    <row r="44" spans="1:18">
      <c r="A44" t="s">
        <v>664</v>
      </c>
      <c r="B44" s="115">
        <v>12211</v>
      </c>
      <c r="C44" s="54" t="s">
        <v>90</v>
      </c>
      <c r="D44" s="114">
        <v>214684</v>
      </c>
      <c r="E44" s="65">
        <v>43802</v>
      </c>
      <c r="F44" t="s">
        <v>833</v>
      </c>
      <c r="G44" s="126">
        <v>925993</v>
      </c>
      <c r="H44" s="128">
        <v>1610</v>
      </c>
      <c r="I44" s="53">
        <v>43556</v>
      </c>
      <c r="J44" s="53">
        <v>43556</v>
      </c>
      <c r="K44" s="26">
        <v>43921</v>
      </c>
      <c r="L44" s="11">
        <v>55000</v>
      </c>
      <c r="M44" s="14">
        <f>-55000+55000</f>
        <v>0</v>
      </c>
      <c r="N44" s="52" t="s">
        <v>986</v>
      </c>
      <c r="O44" s="16" t="s">
        <v>3006</v>
      </c>
    </row>
    <row r="45" spans="1:18">
      <c r="A45" t="s">
        <v>664</v>
      </c>
      <c r="B45" s="115">
        <v>12211</v>
      </c>
      <c r="C45" s="54" t="s">
        <v>90</v>
      </c>
      <c r="D45" s="114">
        <v>214739</v>
      </c>
      <c r="E45" s="65">
        <v>43832</v>
      </c>
      <c r="F45" t="s">
        <v>1156</v>
      </c>
      <c r="G45" s="126">
        <v>928939</v>
      </c>
      <c r="H45" s="128">
        <v>1790</v>
      </c>
      <c r="I45" s="53">
        <v>43678</v>
      </c>
      <c r="J45" s="53">
        <v>43678</v>
      </c>
      <c r="K45" s="218">
        <v>44043</v>
      </c>
      <c r="L45" s="11">
        <v>2500</v>
      </c>
      <c r="M45" s="219">
        <f>-2500+2500</f>
        <v>0</v>
      </c>
      <c r="N45" s="52" t="s">
        <v>986</v>
      </c>
      <c r="O45" s="16" t="s">
        <v>3006</v>
      </c>
    </row>
    <row r="46" spans="1:18">
      <c r="A46" t="s">
        <v>664</v>
      </c>
      <c r="B46" s="115">
        <v>12211</v>
      </c>
      <c r="C46" s="54" t="s">
        <v>90</v>
      </c>
      <c r="D46" s="114">
        <v>214850</v>
      </c>
      <c r="E46" s="65">
        <v>43851</v>
      </c>
      <c r="F46" t="s">
        <v>1157</v>
      </c>
      <c r="G46" s="126">
        <v>929351</v>
      </c>
      <c r="H46" s="128">
        <v>1280</v>
      </c>
      <c r="I46" s="53">
        <v>43829</v>
      </c>
      <c r="J46" s="53">
        <v>43829</v>
      </c>
      <c r="K46" s="26">
        <v>44194</v>
      </c>
      <c r="L46" s="11">
        <v>198960</v>
      </c>
      <c r="M46" s="14">
        <f>-198960+198960</f>
        <v>0</v>
      </c>
      <c r="N46" s="52" t="s">
        <v>986</v>
      </c>
      <c r="O46" s="16" t="s">
        <v>3006</v>
      </c>
    </row>
    <row r="47" spans="1:18">
      <c r="A47" t="s">
        <v>664</v>
      </c>
      <c r="B47" s="115">
        <v>12211</v>
      </c>
      <c r="C47" s="54" t="s">
        <v>90</v>
      </c>
      <c r="D47" s="114">
        <v>214851</v>
      </c>
      <c r="E47" s="65">
        <v>43851</v>
      </c>
      <c r="F47" t="s">
        <v>1158</v>
      </c>
      <c r="G47" s="126">
        <v>928747</v>
      </c>
      <c r="H47" s="128">
        <v>9210</v>
      </c>
      <c r="I47" s="53">
        <v>43800</v>
      </c>
      <c r="J47" s="53"/>
      <c r="K47" s="217">
        <v>44166</v>
      </c>
      <c r="L47" s="11">
        <v>45000</v>
      </c>
      <c r="M47" s="219">
        <v>-45000</v>
      </c>
      <c r="N47" s="52" t="s">
        <v>986</v>
      </c>
    </row>
    <row r="48" spans="1:18">
      <c r="A48" s="5" t="s">
        <v>664</v>
      </c>
      <c r="B48" s="128">
        <v>12211</v>
      </c>
      <c r="C48" s="55" t="s">
        <v>90</v>
      </c>
      <c r="D48" s="210">
        <v>215399</v>
      </c>
      <c r="E48" s="68">
        <v>44410</v>
      </c>
      <c r="F48" s="6" t="s">
        <v>2185</v>
      </c>
      <c r="G48" s="130">
        <v>931015</v>
      </c>
      <c r="H48" s="128"/>
      <c r="I48" s="53"/>
      <c r="J48" s="53"/>
      <c r="K48" s="26"/>
      <c r="L48" s="14"/>
      <c r="M48" s="14">
        <f>538800-538800</f>
        <v>0</v>
      </c>
      <c r="N48" s="52" t="s">
        <v>1982</v>
      </c>
    </row>
    <row r="49" spans="1:18">
      <c r="A49" t="s">
        <v>664</v>
      </c>
      <c r="B49" s="115">
        <v>12211</v>
      </c>
      <c r="C49" s="54" t="s">
        <v>90</v>
      </c>
      <c r="D49" s="114">
        <v>216258</v>
      </c>
      <c r="E49" s="65">
        <v>43922</v>
      </c>
      <c r="F49" t="s">
        <v>1209</v>
      </c>
      <c r="G49" s="126">
        <v>928572</v>
      </c>
      <c r="H49" s="128">
        <v>1760</v>
      </c>
      <c r="I49" s="53">
        <v>44136</v>
      </c>
      <c r="J49" s="53"/>
      <c r="K49" s="26">
        <v>44501</v>
      </c>
      <c r="L49" s="11">
        <v>22000</v>
      </c>
      <c r="M49" s="219">
        <f>-22000+22000-6173.52</f>
        <v>-6173.52</v>
      </c>
      <c r="N49" s="52" t="s">
        <v>1215</v>
      </c>
      <c r="O49" s="6"/>
    </row>
    <row r="50" spans="1:18">
      <c r="A50" t="s">
        <v>664</v>
      </c>
      <c r="B50" s="115">
        <v>12211</v>
      </c>
      <c r="C50" s="54" t="s">
        <v>90</v>
      </c>
      <c r="D50" s="114">
        <v>219747</v>
      </c>
      <c r="E50" s="65">
        <v>44075</v>
      </c>
      <c r="F50" s="9" t="s">
        <v>800</v>
      </c>
      <c r="G50" s="126">
        <v>931381</v>
      </c>
      <c r="H50" s="128">
        <v>2350</v>
      </c>
      <c r="I50" s="53">
        <v>44012</v>
      </c>
      <c r="J50" s="53"/>
      <c r="K50" s="26">
        <v>44530</v>
      </c>
      <c r="L50" s="11">
        <v>253700</v>
      </c>
      <c r="M50" s="14">
        <v>-253700</v>
      </c>
      <c r="N50" s="52" t="s">
        <v>1886</v>
      </c>
    </row>
    <row r="51" spans="1:18" ht="38.25">
      <c r="A51" s="5" t="s">
        <v>664</v>
      </c>
      <c r="B51" s="128">
        <v>12211</v>
      </c>
      <c r="C51" s="55" t="s">
        <v>90</v>
      </c>
      <c r="D51" s="116">
        <v>220705</v>
      </c>
      <c r="E51" s="65">
        <v>44229</v>
      </c>
      <c r="F51" s="5" t="s">
        <v>1381</v>
      </c>
      <c r="G51" s="130">
        <v>931487</v>
      </c>
      <c r="H51" s="128">
        <v>2970</v>
      </c>
      <c r="I51" s="53">
        <v>44190</v>
      </c>
      <c r="J51" s="53"/>
      <c r="K51" s="26">
        <v>44555</v>
      </c>
      <c r="L51" s="14">
        <v>545290.15</v>
      </c>
      <c r="M51" s="14">
        <f>464771.25-545290.15+80518.9</f>
        <v>0</v>
      </c>
      <c r="N51" s="52" t="s">
        <v>1883</v>
      </c>
    </row>
    <row r="52" spans="1:18" ht="25.5">
      <c r="A52" s="5" t="s">
        <v>664</v>
      </c>
      <c r="B52" s="128">
        <v>12211</v>
      </c>
      <c r="C52" s="55" t="s">
        <v>90</v>
      </c>
      <c r="D52" s="210">
        <v>220748</v>
      </c>
      <c r="E52" s="68">
        <v>44265</v>
      </c>
      <c r="F52" s="6" t="s">
        <v>1494</v>
      </c>
      <c r="G52" s="130">
        <v>932594</v>
      </c>
      <c r="H52" s="128">
        <v>1900</v>
      </c>
      <c r="I52" s="53">
        <v>44166</v>
      </c>
      <c r="J52" s="53"/>
      <c r="K52" s="26">
        <v>44531</v>
      </c>
      <c r="L52" s="14">
        <v>80000</v>
      </c>
      <c r="M52" s="14">
        <f>80000-80000</f>
        <v>0</v>
      </c>
      <c r="N52" s="52" t="s">
        <v>1882</v>
      </c>
    </row>
    <row r="53" spans="1:18">
      <c r="A53" s="5" t="s">
        <v>664</v>
      </c>
      <c r="B53" s="128">
        <v>12211</v>
      </c>
      <c r="C53" s="55" t="s">
        <v>90</v>
      </c>
      <c r="D53" s="210">
        <v>220755</v>
      </c>
      <c r="E53" s="68">
        <v>44448</v>
      </c>
      <c r="F53" s="6" t="s">
        <v>23</v>
      </c>
      <c r="G53" s="130">
        <v>929867</v>
      </c>
      <c r="H53" s="128"/>
      <c r="I53" s="53"/>
      <c r="J53" s="53"/>
      <c r="K53" s="26"/>
      <c r="L53" s="14"/>
      <c r="M53" s="14">
        <f>80000-80000</f>
        <v>0</v>
      </c>
      <c r="N53" s="52" t="s">
        <v>1982</v>
      </c>
    </row>
    <row r="54" spans="1:18">
      <c r="A54" s="5" t="s">
        <v>664</v>
      </c>
      <c r="B54" s="128">
        <v>12211</v>
      </c>
      <c r="C54" s="55" t="s">
        <v>90</v>
      </c>
      <c r="D54" s="116">
        <v>221138</v>
      </c>
      <c r="E54" s="65">
        <v>44293</v>
      </c>
      <c r="F54" s="6" t="s">
        <v>616</v>
      </c>
      <c r="G54" s="130">
        <v>918938</v>
      </c>
      <c r="H54" s="128">
        <v>1340</v>
      </c>
      <c r="I54" s="53">
        <v>44136</v>
      </c>
      <c r="J54" s="53"/>
      <c r="K54" s="26">
        <v>44501</v>
      </c>
      <c r="L54" s="14">
        <v>40000</v>
      </c>
      <c r="M54" s="14">
        <f>40000-40000</f>
        <v>0</v>
      </c>
      <c r="N54" s="52" t="s">
        <v>1881</v>
      </c>
    </row>
    <row r="55" spans="1:18" s="188" customFormat="1">
      <c r="A55" s="5" t="s">
        <v>664</v>
      </c>
      <c r="B55" s="128">
        <v>12211</v>
      </c>
      <c r="C55" s="55" t="s">
        <v>90</v>
      </c>
      <c r="D55" s="210">
        <v>221630</v>
      </c>
      <c r="E55" s="68">
        <v>44377</v>
      </c>
      <c r="F55" s="6" t="s">
        <v>1884</v>
      </c>
      <c r="G55" s="130">
        <v>932711</v>
      </c>
      <c r="H55" s="128">
        <v>1915</v>
      </c>
      <c r="I55" s="53">
        <v>44136</v>
      </c>
      <c r="J55" s="53"/>
      <c r="K55" s="26">
        <v>44682</v>
      </c>
      <c r="L55" s="14">
        <v>5000</v>
      </c>
      <c r="M55" s="14">
        <f>-5000+5000</f>
        <v>0</v>
      </c>
      <c r="N55" s="52" t="s">
        <v>1886</v>
      </c>
      <c r="O55" s="16"/>
      <c r="P55" s="191"/>
      <c r="Q55" s="191"/>
      <c r="R55" s="191"/>
    </row>
    <row r="56" spans="1:18" s="188" customFormat="1">
      <c r="A56" s="5" t="s">
        <v>664</v>
      </c>
      <c r="B56" s="128">
        <v>12211</v>
      </c>
      <c r="C56" s="55" t="s">
        <v>90</v>
      </c>
      <c r="D56" s="210">
        <v>221655</v>
      </c>
      <c r="E56" s="68">
        <v>44377</v>
      </c>
      <c r="F56" s="199" t="s">
        <v>1873</v>
      </c>
      <c r="G56" s="130">
        <v>934119</v>
      </c>
      <c r="H56" s="128">
        <v>1655</v>
      </c>
      <c r="I56" s="53">
        <v>44295</v>
      </c>
      <c r="J56" s="53"/>
      <c r="K56" s="26">
        <v>45025</v>
      </c>
      <c r="L56" s="14">
        <v>100000</v>
      </c>
      <c r="M56" s="14">
        <v>-100000</v>
      </c>
      <c r="N56" s="52" t="s">
        <v>1885</v>
      </c>
      <c r="O56" s="16"/>
      <c r="P56" s="191"/>
      <c r="Q56" s="191"/>
      <c r="R56" s="191"/>
    </row>
    <row r="57" spans="1:18" s="188" customFormat="1">
      <c r="A57" s="5" t="s">
        <v>664</v>
      </c>
      <c r="B57" s="128">
        <v>12211</v>
      </c>
      <c r="C57" s="55" t="s">
        <v>90</v>
      </c>
      <c r="D57" s="210">
        <v>221791</v>
      </c>
      <c r="E57" s="68"/>
      <c r="F57" s="199" t="s">
        <v>1981</v>
      </c>
      <c r="G57" s="130">
        <v>931574</v>
      </c>
      <c r="H57" s="128">
        <v>2925</v>
      </c>
      <c r="I57" s="53">
        <v>44120</v>
      </c>
      <c r="J57" s="53"/>
      <c r="K57" s="26"/>
      <c r="L57" s="14">
        <v>224850</v>
      </c>
      <c r="M57" s="14">
        <f>-224850+112425</f>
        <v>-112425</v>
      </c>
      <c r="N57" s="52"/>
      <c r="O57" s="16"/>
      <c r="P57" s="191"/>
      <c r="Q57" s="191"/>
      <c r="R57" s="191"/>
    </row>
    <row r="58" spans="1:18">
      <c r="A58" s="5" t="s">
        <v>664</v>
      </c>
      <c r="B58" s="128">
        <v>12211</v>
      </c>
      <c r="C58" s="55" t="s">
        <v>90</v>
      </c>
      <c r="D58" s="210">
        <v>221842</v>
      </c>
      <c r="E58" s="68">
        <v>44379</v>
      </c>
      <c r="F58" s="6" t="s">
        <v>1879</v>
      </c>
      <c r="G58" s="130">
        <v>932340</v>
      </c>
      <c r="H58" s="128">
        <v>1775</v>
      </c>
      <c r="I58" s="53">
        <v>44144</v>
      </c>
      <c r="J58" s="53"/>
      <c r="K58" s="26">
        <f>I58+365*2</f>
        <v>44874</v>
      </c>
      <c r="L58" s="14">
        <v>85000</v>
      </c>
      <c r="M58" s="14">
        <f>-85000+85000</f>
        <v>0</v>
      </c>
      <c r="N58" s="52"/>
    </row>
    <row r="59" spans="1:18">
      <c r="A59" s="5" t="s">
        <v>664</v>
      </c>
      <c r="B59" s="128">
        <v>12211</v>
      </c>
      <c r="C59" s="55" t="s">
        <v>90</v>
      </c>
      <c r="D59" s="273">
        <v>222559</v>
      </c>
      <c r="E59" s="68">
        <v>44454</v>
      </c>
      <c r="F59" s="6" t="s">
        <v>2311</v>
      </c>
      <c r="G59" s="130">
        <v>935609</v>
      </c>
      <c r="H59" s="128">
        <v>1625</v>
      </c>
      <c r="I59" s="53">
        <v>44531</v>
      </c>
      <c r="J59" s="53"/>
      <c r="K59" s="26">
        <v>44896</v>
      </c>
      <c r="L59" s="14">
        <v>71550</v>
      </c>
      <c r="M59" s="14">
        <v>-71550</v>
      </c>
      <c r="N59" s="52" t="s">
        <v>986</v>
      </c>
    </row>
    <row r="60" spans="1:18">
      <c r="A60" s="5" t="s">
        <v>664</v>
      </c>
      <c r="B60" s="128">
        <v>12211</v>
      </c>
      <c r="C60" s="55" t="s">
        <v>90</v>
      </c>
      <c r="D60" s="273">
        <v>222593</v>
      </c>
      <c r="E60" s="68">
        <v>44454</v>
      </c>
      <c r="F60" s="199" t="s">
        <v>2312</v>
      </c>
      <c r="G60" s="130">
        <v>935904</v>
      </c>
      <c r="H60" s="128">
        <v>1985</v>
      </c>
      <c r="I60" s="53">
        <v>44448</v>
      </c>
      <c r="J60" s="53"/>
      <c r="K60" s="26"/>
      <c r="L60" s="14">
        <v>473900</v>
      </c>
      <c r="M60" s="14">
        <f>-473900+284340+189560</f>
        <v>0</v>
      </c>
      <c r="N60" s="52"/>
    </row>
    <row r="61" spans="1:18">
      <c r="A61" s="5" t="s">
        <v>664</v>
      </c>
      <c r="B61" s="128">
        <v>12211</v>
      </c>
      <c r="C61" s="55" t="s">
        <v>90</v>
      </c>
      <c r="D61" s="273">
        <v>222605</v>
      </c>
      <c r="E61" s="68">
        <v>44454</v>
      </c>
      <c r="F61" s="199" t="s">
        <v>2313</v>
      </c>
      <c r="G61" s="130">
        <v>936367</v>
      </c>
      <c r="H61" s="128">
        <v>1945</v>
      </c>
      <c r="I61" s="53">
        <v>44575</v>
      </c>
      <c r="J61" s="53"/>
      <c r="K61" s="26">
        <v>45487</v>
      </c>
      <c r="L61" s="14">
        <v>599850</v>
      </c>
      <c r="M61" s="14">
        <v>-599850</v>
      </c>
      <c r="N61" s="52" t="s">
        <v>2823</v>
      </c>
    </row>
    <row r="62" spans="1:18">
      <c r="A62" s="5" t="s">
        <v>664</v>
      </c>
      <c r="B62" s="128">
        <v>12211</v>
      </c>
      <c r="C62" s="55" t="s">
        <v>90</v>
      </c>
      <c r="D62" s="273">
        <v>222606</v>
      </c>
      <c r="E62" s="68">
        <v>44454</v>
      </c>
      <c r="F62" s="199" t="s">
        <v>2314</v>
      </c>
      <c r="G62" s="130">
        <v>936368</v>
      </c>
      <c r="H62" s="128">
        <v>1920</v>
      </c>
      <c r="I62" s="53">
        <v>44593</v>
      </c>
      <c r="J62" s="53"/>
      <c r="K62" s="26">
        <v>45139</v>
      </c>
      <c r="L62" s="14">
        <v>162500</v>
      </c>
      <c r="M62" s="14">
        <f>-162500+65000</f>
        <v>-97500</v>
      </c>
      <c r="N62" s="52" t="s">
        <v>2824</v>
      </c>
    </row>
    <row r="63" spans="1:18">
      <c r="A63" s="5" t="s">
        <v>664</v>
      </c>
      <c r="B63" s="128">
        <v>12211</v>
      </c>
      <c r="C63" s="55" t="s">
        <v>90</v>
      </c>
      <c r="D63" s="273">
        <v>222802</v>
      </c>
      <c r="E63" s="68">
        <v>44501</v>
      </c>
      <c r="F63" s="199" t="s">
        <v>27</v>
      </c>
      <c r="G63" s="130">
        <v>937042</v>
      </c>
      <c r="H63" s="128">
        <v>2550</v>
      </c>
      <c r="I63" s="53">
        <v>44586</v>
      </c>
      <c r="J63" s="53"/>
      <c r="K63" s="26">
        <v>45315</v>
      </c>
      <c r="L63" s="14">
        <v>150000</v>
      </c>
      <c r="M63" s="14">
        <v>-150000</v>
      </c>
      <c r="N63" s="52" t="s">
        <v>2821</v>
      </c>
    </row>
    <row r="64" spans="1:18">
      <c r="A64" s="5" t="s">
        <v>664</v>
      </c>
      <c r="B64" s="128">
        <v>12211</v>
      </c>
      <c r="C64" s="55" t="s">
        <v>90</v>
      </c>
      <c r="D64" s="273">
        <v>222803</v>
      </c>
      <c r="E64" s="68">
        <v>44501</v>
      </c>
      <c r="F64" s="199" t="s">
        <v>2825</v>
      </c>
      <c r="G64" s="130">
        <v>936290</v>
      </c>
      <c r="H64" s="128">
        <v>9198</v>
      </c>
      <c r="I64" s="53">
        <v>44491</v>
      </c>
      <c r="J64" s="53"/>
      <c r="K64" s="26">
        <v>44855</v>
      </c>
      <c r="L64" s="14">
        <v>5000</v>
      </c>
      <c r="M64" s="14">
        <f>-5000+5000</f>
        <v>0</v>
      </c>
      <c r="N64" s="52" t="s">
        <v>986</v>
      </c>
    </row>
    <row r="65" spans="1:18">
      <c r="A65" s="5" t="s">
        <v>664</v>
      </c>
      <c r="B65" s="128">
        <v>12211</v>
      </c>
      <c r="C65" s="55" t="s">
        <v>90</v>
      </c>
      <c r="D65" s="273">
        <v>222804</v>
      </c>
      <c r="E65" s="68">
        <v>44501</v>
      </c>
      <c r="F65" s="199" t="s">
        <v>2496</v>
      </c>
      <c r="G65" s="130">
        <v>936688</v>
      </c>
      <c r="H65" s="128">
        <v>1905</v>
      </c>
      <c r="I65" s="53">
        <v>44506</v>
      </c>
      <c r="J65" s="53"/>
      <c r="K65" s="26">
        <v>45235</v>
      </c>
      <c r="L65" s="14">
        <v>40000</v>
      </c>
      <c r="M65" s="14">
        <v>-40000</v>
      </c>
      <c r="N65" s="52" t="s">
        <v>2821</v>
      </c>
    </row>
    <row r="66" spans="1:18">
      <c r="A66" s="5" t="s">
        <v>664</v>
      </c>
      <c r="B66" s="128">
        <v>12211</v>
      </c>
      <c r="C66" s="55" t="s">
        <v>90</v>
      </c>
      <c r="D66" s="273">
        <v>222805</v>
      </c>
      <c r="E66" s="68">
        <v>44501</v>
      </c>
      <c r="F66" s="199" t="s">
        <v>2497</v>
      </c>
      <c r="G66" s="130">
        <v>937018</v>
      </c>
      <c r="H66" s="128">
        <v>1867</v>
      </c>
      <c r="I66" s="53">
        <v>44506</v>
      </c>
      <c r="J66" s="53"/>
      <c r="K66" s="26">
        <v>45235</v>
      </c>
      <c r="L66" s="14">
        <v>40000</v>
      </c>
      <c r="M66" s="14">
        <v>-40000</v>
      </c>
      <c r="N66" s="52" t="s">
        <v>2821</v>
      </c>
    </row>
    <row r="67" spans="1:18">
      <c r="A67" s="5" t="s">
        <v>664</v>
      </c>
      <c r="B67" s="128">
        <v>12211</v>
      </c>
      <c r="C67" s="55" t="s">
        <v>90</v>
      </c>
      <c r="D67" s="273">
        <v>222946</v>
      </c>
      <c r="E67" s="68">
        <v>44531</v>
      </c>
      <c r="F67" s="199" t="s">
        <v>2519</v>
      </c>
      <c r="G67" s="130">
        <v>937118</v>
      </c>
      <c r="H67" s="128">
        <v>9191</v>
      </c>
      <c r="I67" s="53">
        <v>44509</v>
      </c>
      <c r="J67" s="53"/>
      <c r="K67" s="26">
        <v>44873</v>
      </c>
      <c r="L67" s="14">
        <v>60000</v>
      </c>
      <c r="M67" s="14">
        <f>-60000+60000</f>
        <v>0</v>
      </c>
      <c r="N67" s="52" t="s">
        <v>986</v>
      </c>
    </row>
    <row r="68" spans="1:18">
      <c r="A68" s="5" t="s">
        <v>664</v>
      </c>
      <c r="B68" s="128">
        <v>12211</v>
      </c>
      <c r="C68" s="55" t="s">
        <v>90</v>
      </c>
      <c r="D68" s="273">
        <v>222954</v>
      </c>
      <c r="E68" s="68">
        <v>44531</v>
      </c>
      <c r="F68" s="199" t="s">
        <v>2520</v>
      </c>
      <c r="G68" s="130">
        <v>930510</v>
      </c>
      <c r="H68" s="128">
        <v>2850</v>
      </c>
      <c r="I68" s="53">
        <v>43770</v>
      </c>
      <c r="J68" s="53"/>
      <c r="K68" s="26">
        <v>44135</v>
      </c>
      <c r="L68" s="14">
        <v>225000</v>
      </c>
      <c r="M68" s="14">
        <v>-225000</v>
      </c>
      <c r="N68" s="52" t="s">
        <v>986</v>
      </c>
    </row>
    <row r="69" spans="1:18">
      <c r="A69" s="5" t="s">
        <v>664</v>
      </c>
      <c r="B69" s="128">
        <v>12211</v>
      </c>
      <c r="C69" s="55" t="s">
        <v>90</v>
      </c>
      <c r="D69" s="273">
        <v>222955</v>
      </c>
      <c r="E69" s="68">
        <v>44561</v>
      </c>
      <c r="F69" s="199" t="s">
        <v>2521</v>
      </c>
      <c r="G69" s="130">
        <v>931305</v>
      </c>
      <c r="H69" s="128">
        <v>1395</v>
      </c>
      <c r="I69" s="53">
        <v>44027</v>
      </c>
      <c r="J69" s="53"/>
      <c r="K69" s="26">
        <v>44607</v>
      </c>
      <c r="L69" s="14">
        <v>300000</v>
      </c>
      <c r="M69" s="14">
        <f>-300000+300000</f>
        <v>0</v>
      </c>
      <c r="N69" s="52" t="s">
        <v>2826</v>
      </c>
    </row>
    <row r="70" spans="1:18">
      <c r="A70" s="5" t="s">
        <v>664</v>
      </c>
      <c r="B70" s="128">
        <v>12211</v>
      </c>
      <c r="C70" s="55" t="s">
        <v>90</v>
      </c>
      <c r="D70" s="273">
        <v>222644</v>
      </c>
      <c r="E70" s="68">
        <v>44454</v>
      </c>
      <c r="F70" s="199" t="s">
        <v>2315</v>
      </c>
      <c r="G70" s="130">
        <v>936158</v>
      </c>
      <c r="H70" s="128">
        <v>2570</v>
      </c>
      <c r="I70" s="53">
        <v>44631</v>
      </c>
      <c r="J70" s="53"/>
      <c r="K70" s="26">
        <v>11719</v>
      </c>
      <c r="L70" s="14">
        <v>1302000</v>
      </c>
      <c r="M70" s="14">
        <f>-1302000-45000+500000</f>
        <v>-847000</v>
      </c>
      <c r="N70" s="52" t="s">
        <v>950</v>
      </c>
    </row>
    <row r="71" spans="1:18">
      <c r="A71" s="5" t="s">
        <v>664</v>
      </c>
      <c r="B71" s="128">
        <v>12211</v>
      </c>
      <c r="C71" s="55" t="s">
        <v>90</v>
      </c>
      <c r="D71" s="273">
        <v>223135</v>
      </c>
      <c r="E71" s="68">
        <v>44562</v>
      </c>
      <c r="F71" s="199" t="s">
        <v>2989</v>
      </c>
      <c r="G71" s="130">
        <v>932430</v>
      </c>
      <c r="H71" s="128">
        <v>2625</v>
      </c>
      <c r="I71" s="53"/>
      <c r="J71" s="53"/>
      <c r="K71" s="26"/>
      <c r="L71" s="14"/>
      <c r="M71" s="14">
        <v>-125100</v>
      </c>
      <c r="N71" s="52"/>
    </row>
    <row r="72" spans="1:18">
      <c r="A72" s="5" t="s">
        <v>664</v>
      </c>
      <c r="B72" s="128">
        <v>12211</v>
      </c>
      <c r="C72" s="55" t="s">
        <v>90</v>
      </c>
      <c r="D72" s="273">
        <v>221752</v>
      </c>
      <c r="E72" s="68">
        <v>44575</v>
      </c>
      <c r="F72" s="199" t="s">
        <v>2894</v>
      </c>
      <c r="G72" s="130">
        <v>934720</v>
      </c>
      <c r="H72" s="128"/>
      <c r="I72" s="53"/>
      <c r="J72" s="53"/>
      <c r="K72" s="26"/>
      <c r="L72" s="14"/>
      <c r="M72" s="14">
        <v>280000</v>
      </c>
      <c r="N72" s="52"/>
    </row>
    <row r="73" spans="1:18">
      <c r="A73" s="5" t="s">
        <v>664</v>
      </c>
      <c r="B73" s="128">
        <v>12211</v>
      </c>
      <c r="C73" s="55" t="s">
        <v>90</v>
      </c>
      <c r="D73" s="273">
        <v>223575</v>
      </c>
      <c r="E73" s="68">
        <v>44592</v>
      </c>
      <c r="F73" s="199" t="s">
        <v>2990</v>
      </c>
      <c r="G73" s="130">
        <v>937864</v>
      </c>
      <c r="H73" s="128">
        <v>1870</v>
      </c>
      <c r="I73" s="53"/>
      <c r="J73" s="53"/>
      <c r="K73" s="26"/>
      <c r="L73" s="14"/>
      <c r="M73" s="14">
        <v>-115000</v>
      </c>
      <c r="N73" s="52"/>
    </row>
    <row r="74" spans="1:18">
      <c r="A74" s="6" t="s">
        <v>1549</v>
      </c>
      <c r="B74" s="115">
        <v>12215</v>
      </c>
      <c r="C74" s="54" t="s">
        <v>94</v>
      </c>
      <c r="D74" s="114">
        <v>215629</v>
      </c>
      <c r="E74" s="65">
        <v>43892</v>
      </c>
      <c r="F74" t="s">
        <v>1205</v>
      </c>
      <c r="G74" s="126">
        <v>929469</v>
      </c>
      <c r="H74" s="128">
        <v>9045</v>
      </c>
      <c r="I74" s="53">
        <v>43831</v>
      </c>
      <c r="J74" s="53"/>
      <c r="K74" s="26">
        <v>44197</v>
      </c>
      <c r="L74" s="11">
        <v>15000</v>
      </c>
      <c r="M74" s="14">
        <f>-15000+15000</f>
        <v>0</v>
      </c>
      <c r="N74" s="52" t="s">
        <v>986</v>
      </c>
      <c r="R74" s="16"/>
    </row>
    <row r="75" spans="1:18">
      <c r="A75" s="6" t="s">
        <v>690</v>
      </c>
      <c r="B75" s="116">
        <v>12216</v>
      </c>
      <c r="C75" s="58" t="s">
        <v>95</v>
      </c>
      <c r="D75" s="116">
        <v>142786</v>
      </c>
      <c r="E75" s="75">
        <v>42208</v>
      </c>
      <c r="F75" s="5" t="s">
        <v>654</v>
      </c>
      <c r="G75" s="130">
        <v>909601</v>
      </c>
      <c r="H75" s="118" t="s">
        <v>744</v>
      </c>
      <c r="I75" s="15">
        <v>42186</v>
      </c>
      <c r="J75" s="15"/>
      <c r="K75" s="26">
        <f>+I75+365</f>
        <v>42551</v>
      </c>
      <c r="L75" s="11">
        <v>0</v>
      </c>
      <c r="M75" s="14">
        <f>-600000+126808.06+192574.6</f>
        <v>-280617.33999999997</v>
      </c>
      <c r="N75" s="143" t="s">
        <v>1016</v>
      </c>
      <c r="P75" s="16"/>
      <c r="Q75" s="16"/>
      <c r="R75" s="194"/>
    </row>
    <row r="76" spans="1:18">
      <c r="A76" s="6" t="s">
        <v>690</v>
      </c>
      <c r="B76" s="114">
        <v>12216</v>
      </c>
      <c r="C76" s="36" t="s">
        <v>95</v>
      </c>
      <c r="D76" s="114">
        <v>93131</v>
      </c>
      <c r="E76" s="76">
        <v>40633</v>
      </c>
      <c r="F76" t="s">
        <v>0</v>
      </c>
      <c r="G76" s="126">
        <v>12718</v>
      </c>
      <c r="H76" s="129">
        <v>2052</v>
      </c>
      <c r="I76" s="66">
        <v>40575</v>
      </c>
      <c r="J76" s="66"/>
      <c r="K76" s="26">
        <v>44227</v>
      </c>
      <c r="L76" s="11">
        <v>0</v>
      </c>
      <c r="M76" s="14">
        <v>-88000</v>
      </c>
      <c r="N76" s="143" t="s">
        <v>1087</v>
      </c>
      <c r="P76" s="16"/>
      <c r="Q76" s="16"/>
      <c r="R76" s="194"/>
    </row>
    <row r="77" spans="1:18">
      <c r="A77" s="6" t="s">
        <v>690</v>
      </c>
      <c r="B77" s="114">
        <v>12216</v>
      </c>
      <c r="C77" s="36" t="s">
        <v>95</v>
      </c>
      <c r="D77" s="114">
        <v>127302</v>
      </c>
      <c r="E77" s="78" t="s">
        <v>934</v>
      </c>
      <c r="F77" t="s">
        <v>939</v>
      </c>
      <c r="G77" s="126">
        <v>254975</v>
      </c>
      <c r="H77" s="118">
        <v>9062</v>
      </c>
      <c r="I77" s="15" t="s">
        <v>78</v>
      </c>
      <c r="J77" s="15"/>
      <c r="K77" s="26" t="s">
        <v>78</v>
      </c>
      <c r="L77" s="11">
        <v>0</v>
      </c>
      <c r="M77" s="14">
        <v>-7193</v>
      </c>
      <c r="N77" s="143" t="s">
        <v>954</v>
      </c>
      <c r="P77" s="16"/>
      <c r="Q77" s="16"/>
      <c r="R77" s="194"/>
    </row>
    <row r="78" spans="1:18">
      <c r="A78" s="6" t="s">
        <v>690</v>
      </c>
      <c r="B78" s="114">
        <v>12216</v>
      </c>
      <c r="C78" s="36" t="s">
        <v>95</v>
      </c>
      <c r="D78" s="114">
        <v>141906</v>
      </c>
      <c r="E78" s="78" t="s">
        <v>934</v>
      </c>
      <c r="F78" t="s">
        <v>940</v>
      </c>
      <c r="G78" s="126">
        <v>909632</v>
      </c>
      <c r="H78" s="118">
        <v>9252</v>
      </c>
      <c r="I78" s="15" t="s">
        <v>78</v>
      </c>
      <c r="J78" s="15"/>
      <c r="K78" s="26" t="s">
        <v>78</v>
      </c>
      <c r="L78" s="11">
        <v>0</v>
      </c>
      <c r="M78" s="14">
        <v>-1393</v>
      </c>
      <c r="N78" s="143" t="s">
        <v>954</v>
      </c>
      <c r="P78" s="16"/>
      <c r="Q78" s="16"/>
      <c r="R78" s="194"/>
    </row>
    <row r="79" spans="1:18" ht="25.5">
      <c r="A79" s="6" t="s">
        <v>690</v>
      </c>
      <c r="B79" s="115">
        <v>12216</v>
      </c>
      <c r="C79" s="54" t="s">
        <v>95</v>
      </c>
      <c r="D79" s="114"/>
      <c r="E79" s="87"/>
      <c r="F79" t="s">
        <v>955</v>
      </c>
      <c r="G79" s="126"/>
      <c r="H79" s="131">
        <v>1224</v>
      </c>
      <c r="I79" s="15"/>
      <c r="J79" s="15"/>
      <c r="K79" s="15"/>
      <c r="L79" s="11">
        <v>0</v>
      </c>
      <c r="M79" s="14">
        <v>185000</v>
      </c>
      <c r="N79" s="143" t="s">
        <v>1019</v>
      </c>
      <c r="P79" s="16"/>
      <c r="Q79" s="16"/>
      <c r="R79" s="194"/>
    </row>
    <row r="80" spans="1:18" ht="51">
      <c r="A80" s="6" t="s">
        <v>1549</v>
      </c>
      <c r="B80" s="114">
        <v>12217</v>
      </c>
      <c r="C80" s="36" t="s">
        <v>96</v>
      </c>
      <c r="D80" s="114">
        <v>187105</v>
      </c>
      <c r="E80" s="65">
        <v>42998</v>
      </c>
      <c r="F80" t="s">
        <v>840</v>
      </c>
      <c r="G80" s="126" t="s">
        <v>982</v>
      </c>
      <c r="H80" s="129">
        <v>9067</v>
      </c>
      <c r="I80" s="65">
        <v>42979</v>
      </c>
      <c r="J80" s="65"/>
      <c r="K80" s="32">
        <v>43343</v>
      </c>
      <c r="L80" s="11">
        <v>5000</v>
      </c>
      <c r="M80" s="14">
        <f>-5000+5000</f>
        <v>0</v>
      </c>
      <c r="N80" s="153" t="s">
        <v>1045</v>
      </c>
      <c r="R80" s="6"/>
    </row>
    <row r="81" spans="1:18">
      <c r="A81" s="6" t="s">
        <v>1549</v>
      </c>
      <c r="B81" s="114">
        <v>12217</v>
      </c>
      <c r="C81" s="36" t="s">
        <v>96</v>
      </c>
      <c r="D81" s="114">
        <v>193239</v>
      </c>
      <c r="E81" s="65">
        <v>43281</v>
      </c>
      <c r="F81" s="9" t="s">
        <v>1028</v>
      </c>
      <c r="G81" s="126">
        <v>923819</v>
      </c>
      <c r="H81" s="129">
        <v>1058</v>
      </c>
      <c r="I81" s="65">
        <v>43252</v>
      </c>
      <c r="J81" s="65"/>
      <c r="K81" s="32">
        <v>43616</v>
      </c>
      <c r="L81" s="11">
        <v>10000</v>
      </c>
      <c r="M81" s="14">
        <f>-10000+10000</f>
        <v>0</v>
      </c>
      <c r="N81" s="13" t="s">
        <v>986</v>
      </c>
      <c r="R81" s="6"/>
    </row>
    <row r="82" spans="1:18" ht="12.75" customHeight="1">
      <c r="A82" s="6" t="s">
        <v>1549</v>
      </c>
      <c r="B82" s="114">
        <v>12217</v>
      </c>
      <c r="C82" s="36" t="s">
        <v>96</v>
      </c>
      <c r="D82" s="152">
        <v>195355</v>
      </c>
      <c r="E82" s="70">
        <v>43369</v>
      </c>
      <c r="F82" s="6" t="s">
        <v>805</v>
      </c>
      <c r="G82" s="123">
        <v>925167</v>
      </c>
      <c r="H82" s="114">
        <v>2015</v>
      </c>
      <c r="I82" s="19">
        <v>43435</v>
      </c>
      <c r="J82" s="19"/>
      <c r="L82" s="11">
        <v>2644900</v>
      </c>
      <c r="M82" s="42">
        <f>-2644900+881633.33+1763266.67</f>
        <v>0</v>
      </c>
      <c r="N82" s="38" t="s">
        <v>987</v>
      </c>
      <c r="R82" s="6"/>
    </row>
    <row r="83" spans="1:18" ht="12.75" customHeight="1">
      <c r="A83" s="6" t="s">
        <v>1549</v>
      </c>
      <c r="B83" s="114">
        <v>12217</v>
      </c>
      <c r="C83" s="36" t="s">
        <v>96</v>
      </c>
      <c r="D83" s="152">
        <v>216237</v>
      </c>
      <c r="E83" s="70">
        <v>43924</v>
      </c>
      <c r="F83" s="6" t="s">
        <v>835</v>
      </c>
      <c r="G83" s="123">
        <v>930939</v>
      </c>
      <c r="H83" s="114">
        <v>2040</v>
      </c>
      <c r="I83" s="19">
        <v>44105</v>
      </c>
      <c r="J83" s="19"/>
      <c r="L83" s="11">
        <v>10000000</v>
      </c>
      <c r="M83" s="42">
        <f>-10000000+5000000+4000000+1000000</f>
        <v>0</v>
      </c>
      <c r="N83" s="175" t="s">
        <v>987</v>
      </c>
      <c r="R83" s="6"/>
    </row>
    <row r="84" spans="1:18">
      <c r="A84" s="6" t="s">
        <v>1549</v>
      </c>
      <c r="B84" s="116">
        <v>12217</v>
      </c>
      <c r="C84" s="58" t="s">
        <v>96</v>
      </c>
      <c r="D84" s="181">
        <v>219839</v>
      </c>
      <c r="E84" s="63">
        <v>44092</v>
      </c>
      <c r="F84" s="6" t="s">
        <v>1265</v>
      </c>
      <c r="G84" s="182">
        <v>931587</v>
      </c>
      <c r="H84" s="116">
        <v>1140</v>
      </c>
      <c r="I84" s="27">
        <v>43915</v>
      </c>
      <c r="L84" s="14"/>
      <c r="M84" s="42">
        <f>200000-200000</f>
        <v>0</v>
      </c>
      <c r="N84" s="13" t="s">
        <v>986</v>
      </c>
      <c r="R84" s="6"/>
    </row>
    <row r="85" spans="1:18">
      <c r="A85" t="s">
        <v>664</v>
      </c>
      <c r="B85" s="114">
        <v>12229</v>
      </c>
      <c r="C85" s="36" t="s">
        <v>108</v>
      </c>
      <c r="D85" s="114">
        <v>147331</v>
      </c>
      <c r="E85" s="86" t="s">
        <v>942</v>
      </c>
      <c r="F85" t="s">
        <v>804</v>
      </c>
      <c r="G85" s="126">
        <v>911651</v>
      </c>
      <c r="H85" s="132">
        <v>21</v>
      </c>
      <c r="I85" s="15">
        <v>42257</v>
      </c>
      <c r="J85" s="15"/>
      <c r="K85" s="26">
        <v>46053</v>
      </c>
      <c r="L85" s="11">
        <v>12000</v>
      </c>
      <c r="M85" s="14">
        <f>-12000+12000</f>
        <v>0</v>
      </c>
      <c r="N85" s="13" t="s">
        <v>1217</v>
      </c>
    </row>
    <row r="86" spans="1:18" s="6" customFormat="1" ht="12.6" customHeight="1">
      <c r="A86" t="s">
        <v>664</v>
      </c>
      <c r="B86" s="114">
        <v>12229</v>
      </c>
      <c r="C86" s="36" t="s">
        <v>108</v>
      </c>
      <c r="D86" s="114">
        <v>194928</v>
      </c>
      <c r="E86" s="86">
        <v>43343</v>
      </c>
      <c r="F86" s="9" t="s">
        <v>657</v>
      </c>
      <c r="G86" s="126">
        <v>924787</v>
      </c>
      <c r="H86" s="133">
        <v>9080</v>
      </c>
      <c r="I86" s="15">
        <v>43313</v>
      </c>
      <c r="J86" s="15"/>
      <c r="K86" s="151">
        <v>43677</v>
      </c>
      <c r="L86" s="11">
        <v>2000</v>
      </c>
      <c r="M86" s="14">
        <v>-2000</v>
      </c>
      <c r="N86" s="13" t="s">
        <v>1037</v>
      </c>
      <c r="P86" s="191"/>
      <c r="Q86" s="191"/>
      <c r="R86" s="191"/>
    </row>
    <row r="87" spans="1:18" s="6" customFormat="1">
      <c r="A87" t="s">
        <v>664</v>
      </c>
      <c r="B87" s="114">
        <v>12229</v>
      </c>
      <c r="C87" s="36" t="s">
        <v>108</v>
      </c>
      <c r="D87" s="114">
        <v>197034</v>
      </c>
      <c r="E87" s="86">
        <v>43465</v>
      </c>
      <c r="F87" s="9" t="s">
        <v>21</v>
      </c>
      <c r="G87" s="126">
        <v>926561</v>
      </c>
      <c r="H87" s="133" t="s">
        <v>845</v>
      </c>
      <c r="I87" s="15"/>
      <c r="J87" s="15"/>
      <c r="K87" s="151">
        <v>47269</v>
      </c>
      <c r="L87" s="11">
        <v>416440</v>
      </c>
      <c r="M87" s="14">
        <f>-416440+291508+24986.4+58301.6+41644</f>
        <v>0</v>
      </c>
      <c r="N87" s="13" t="s">
        <v>987</v>
      </c>
      <c r="P87" s="191"/>
      <c r="Q87" s="191"/>
      <c r="R87" s="191"/>
    </row>
    <row r="88" spans="1:18" s="6" customFormat="1">
      <c r="A88" t="s">
        <v>664</v>
      </c>
      <c r="B88" s="116">
        <v>12229</v>
      </c>
      <c r="C88" s="58" t="s">
        <v>108</v>
      </c>
      <c r="D88" s="116">
        <v>212185</v>
      </c>
      <c r="E88" s="66">
        <v>43686</v>
      </c>
      <c r="F88" s="6" t="s">
        <v>32</v>
      </c>
      <c r="G88" s="130">
        <v>926864</v>
      </c>
      <c r="H88" s="180">
        <v>269</v>
      </c>
      <c r="I88" s="15">
        <v>43665</v>
      </c>
      <c r="J88" s="15"/>
      <c r="K88" s="151"/>
      <c r="L88" s="14">
        <v>175500</v>
      </c>
      <c r="M88" s="14">
        <f>-175500+131625-500+500+43875</f>
        <v>0</v>
      </c>
      <c r="N88" s="143" t="s">
        <v>1278</v>
      </c>
      <c r="P88" s="191"/>
      <c r="Q88" s="191"/>
      <c r="R88" s="191"/>
    </row>
    <row r="89" spans="1:18" s="6" customFormat="1">
      <c r="A89" t="s">
        <v>664</v>
      </c>
      <c r="B89" s="114">
        <v>12229</v>
      </c>
      <c r="C89" s="36" t="s">
        <v>108</v>
      </c>
      <c r="D89" s="114">
        <v>213078</v>
      </c>
      <c r="E89" s="86">
        <v>43752</v>
      </c>
      <c r="F89" s="9" t="s">
        <v>661</v>
      </c>
      <c r="G89" s="126">
        <v>928135</v>
      </c>
      <c r="H89" s="133">
        <v>242</v>
      </c>
      <c r="I89" s="15">
        <v>43702</v>
      </c>
      <c r="J89" s="15"/>
      <c r="K89" s="151">
        <v>44068</v>
      </c>
      <c r="L89" s="11">
        <v>545940</v>
      </c>
      <c r="M89" s="14">
        <f>-545940+545940</f>
        <v>0</v>
      </c>
      <c r="N89" s="13" t="s">
        <v>986</v>
      </c>
      <c r="P89" s="191"/>
      <c r="Q89" s="191"/>
      <c r="R89" s="191"/>
    </row>
    <row r="90" spans="1:18" s="6" customFormat="1">
      <c r="A90" t="s">
        <v>664</v>
      </c>
      <c r="B90" s="114">
        <v>12229</v>
      </c>
      <c r="C90" s="36" t="s">
        <v>108</v>
      </c>
      <c r="D90" s="114">
        <v>215628</v>
      </c>
      <c r="E90" s="86">
        <v>43892</v>
      </c>
      <c r="F90" s="9" t="s">
        <v>1201</v>
      </c>
      <c r="G90" s="126">
        <v>930285</v>
      </c>
      <c r="H90" s="133">
        <v>21</v>
      </c>
      <c r="I90" s="15">
        <v>43862</v>
      </c>
      <c r="J90" s="15"/>
      <c r="K90" s="151">
        <v>45688</v>
      </c>
      <c r="L90" s="11">
        <v>31050</v>
      </c>
      <c r="M90" s="14">
        <f>-31050+31050</f>
        <v>0</v>
      </c>
      <c r="N90" s="13" t="s">
        <v>986</v>
      </c>
      <c r="P90" s="191"/>
      <c r="Q90" s="194"/>
      <c r="R90" s="194"/>
    </row>
    <row r="91" spans="1:18" s="6" customFormat="1">
      <c r="A91" t="s">
        <v>664</v>
      </c>
      <c r="B91" s="114">
        <v>12229</v>
      </c>
      <c r="C91" s="36" t="s">
        <v>108</v>
      </c>
      <c r="D91" s="114">
        <v>216230</v>
      </c>
      <c r="E91" s="86">
        <v>43949</v>
      </c>
      <c r="F91" s="9" t="s">
        <v>1239</v>
      </c>
      <c r="G91" s="126">
        <v>931306</v>
      </c>
      <c r="H91" s="133">
        <v>87</v>
      </c>
      <c r="I91" s="15"/>
      <c r="J91" s="15"/>
      <c r="K91" s="151"/>
      <c r="L91" s="11"/>
      <c r="M91" s="14">
        <f>-100000+50000+50000-26028.09+26028.09</f>
        <v>0</v>
      </c>
      <c r="N91" s="13" t="s">
        <v>1184</v>
      </c>
      <c r="P91" s="191"/>
      <c r="Q91" s="191"/>
      <c r="R91" s="191"/>
    </row>
    <row r="92" spans="1:18" s="6" customFormat="1">
      <c r="A92" s="5" t="s">
        <v>664</v>
      </c>
      <c r="B92" s="116">
        <v>12229</v>
      </c>
      <c r="C92" s="58" t="s">
        <v>108</v>
      </c>
      <c r="D92" s="116">
        <v>221908</v>
      </c>
      <c r="E92" s="66">
        <v>44469</v>
      </c>
      <c r="F92" s="6" t="s">
        <v>18</v>
      </c>
      <c r="G92" s="130">
        <v>935586</v>
      </c>
      <c r="H92" s="180">
        <v>267</v>
      </c>
      <c r="I92" s="15"/>
      <c r="J92" s="15"/>
      <c r="K92" s="151"/>
      <c r="L92" s="14">
        <v>50000</v>
      </c>
      <c r="M92" s="14">
        <f>-50000+50000</f>
        <v>0</v>
      </c>
      <c r="N92" s="13" t="s">
        <v>2316</v>
      </c>
      <c r="P92" s="191"/>
      <c r="Q92" s="191"/>
      <c r="R92" s="191"/>
    </row>
    <row r="93" spans="1:18" s="6" customFormat="1">
      <c r="A93" s="5" t="s">
        <v>664</v>
      </c>
      <c r="B93" s="116">
        <v>12229</v>
      </c>
      <c r="C93" s="58" t="s">
        <v>108</v>
      </c>
      <c r="D93" s="116">
        <v>220740</v>
      </c>
      <c r="E93" s="66">
        <v>44377</v>
      </c>
      <c r="F93" s="6" t="s">
        <v>1874</v>
      </c>
      <c r="G93" s="130"/>
      <c r="H93" s="180">
        <v>85</v>
      </c>
      <c r="I93" s="15"/>
      <c r="J93" s="15"/>
      <c r="K93" s="151"/>
      <c r="L93" s="14">
        <v>20000</v>
      </c>
      <c r="M93" s="14">
        <f>-20000+20000+20000-20000</f>
        <v>0</v>
      </c>
      <c r="N93" s="52" t="s">
        <v>1538</v>
      </c>
      <c r="P93" s="191"/>
      <c r="Q93" s="191"/>
      <c r="R93" s="191"/>
    </row>
    <row r="94" spans="1:18" s="6" customFormat="1">
      <c r="A94" s="5" t="s">
        <v>664</v>
      </c>
      <c r="B94" s="116">
        <v>12229</v>
      </c>
      <c r="C94" s="58" t="s">
        <v>108</v>
      </c>
      <c r="D94" s="116">
        <v>220908</v>
      </c>
      <c r="E94" s="66">
        <v>44300</v>
      </c>
      <c r="F94" s="6" t="s">
        <v>1358</v>
      </c>
      <c r="G94" s="130">
        <v>9333351</v>
      </c>
      <c r="H94" s="180"/>
      <c r="I94" s="15"/>
      <c r="J94" s="15"/>
      <c r="K94" s="151"/>
      <c r="L94" s="14"/>
      <c r="M94" s="14">
        <f>20000-20000</f>
        <v>0</v>
      </c>
      <c r="N94" s="52" t="s">
        <v>1983</v>
      </c>
      <c r="P94" s="191"/>
      <c r="Q94" s="191"/>
      <c r="R94" s="191"/>
    </row>
    <row r="95" spans="1:18" s="6" customFormat="1">
      <c r="A95" s="5" t="s">
        <v>664</v>
      </c>
      <c r="B95" s="116">
        <v>12229</v>
      </c>
      <c r="C95" s="58" t="s">
        <v>108</v>
      </c>
      <c r="D95" s="116">
        <v>220908</v>
      </c>
      <c r="E95" s="66">
        <v>44300</v>
      </c>
      <c r="F95" s="6" t="s">
        <v>1358</v>
      </c>
      <c r="G95" s="130">
        <v>9333351</v>
      </c>
      <c r="H95" s="180"/>
      <c r="I95" s="15"/>
      <c r="J95" s="15"/>
      <c r="K95" s="151"/>
      <c r="L95" s="14"/>
      <c r="M95" s="14">
        <f>20000-20000</f>
        <v>0</v>
      </c>
      <c r="N95" s="52" t="s">
        <v>1538</v>
      </c>
      <c r="P95" s="191"/>
      <c r="Q95" s="191"/>
      <c r="R95" s="191"/>
    </row>
    <row r="96" spans="1:18" s="6" customFormat="1">
      <c r="A96" s="5" t="s">
        <v>664</v>
      </c>
      <c r="B96" s="116">
        <v>12229</v>
      </c>
      <c r="C96" s="58" t="s">
        <v>108</v>
      </c>
      <c r="D96" s="181">
        <v>222597</v>
      </c>
      <c r="E96" s="66">
        <v>44560</v>
      </c>
      <c r="F96" s="6" t="s">
        <v>1059</v>
      </c>
      <c r="G96" s="130"/>
      <c r="H96" s="180"/>
      <c r="I96" s="15"/>
      <c r="J96" s="15"/>
      <c r="K96" s="151"/>
      <c r="L96" s="14"/>
      <c r="M96" s="96">
        <f>-200000+200000</f>
        <v>0</v>
      </c>
      <c r="N96" s="52"/>
      <c r="P96" s="191"/>
      <c r="Q96" s="191"/>
      <c r="R96" s="191"/>
    </row>
    <row r="97" spans="1:18" s="6" customFormat="1">
      <c r="A97" s="5" t="s">
        <v>664</v>
      </c>
      <c r="B97" s="116">
        <v>12229</v>
      </c>
      <c r="C97" s="58" t="s">
        <v>108</v>
      </c>
      <c r="D97" s="270">
        <v>223115</v>
      </c>
      <c r="E97" s="66">
        <v>44562</v>
      </c>
      <c r="F97" s="6" t="s">
        <v>799</v>
      </c>
      <c r="G97" s="130">
        <v>64479</v>
      </c>
      <c r="H97" s="180">
        <v>224</v>
      </c>
      <c r="I97" s="15"/>
      <c r="J97" s="15"/>
      <c r="K97" s="151"/>
      <c r="L97" s="14"/>
      <c r="M97" s="96">
        <v>-50000</v>
      </c>
      <c r="N97" s="52"/>
      <c r="P97" s="191"/>
      <c r="Q97" s="191"/>
      <c r="R97" s="191"/>
    </row>
    <row r="98" spans="1:18" s="6" customFormat="1" ht="40.5" customHeight="1">
      <c r="A98" t="s">
        <v>664</v>
      </c>
      <c r="B98" s="114">
        <v>12230</v>
      </c>
      <c r="C98" s="36" t="s">
        <v>109</v>
      </c>
      <c r="D98" s="114">
        <v>141504</v>
      </c>
      <c r="E98" s="76">
        <v>42124</v>
      </c>
      <c r="F98" s="5" t="s">
        <v>660</v>
      </c>
      <c r="G98" s="126">
        <v>60484</v>
      </c>
      <c r="H98" s="129" t="s">
        <v>701</v>
      </c>
      <c r="I98" s="66">
        <v>42079</v>
      </c>
      <c r="J98" s="66"/>
      <c r="K98" s="26">
        <v>43861</v>
      </c>
      <c r="L98" s="11">
        <v>10000</v>
      </c>
      <c r="M98" s="14">
        <v>-10000</v>
      </c>
      <c r="N98" s="13" t="s">
        <v>995</v>
      </c>
      <c r="P98" s="191"/>
      <c r="Q98" s="191"/>
      <c r="R98" s="191"/>
    </row>
    <row r="99" spans="1:18" s="6" customFormat="1">
      <c r="A99" t="s">
        <v>664</v>
      </c>
      <c r="B99" s="114">
        <v>12230</v>
      </c>
      <c r="C99" s="36" t="s">
        <v>109</v>
      </c>
      <c r="D99" s="114">
        <v>180885</v>
      </c>
      <c r="E99" s="76">
        <v>42674</v>
      </c>
      <c r="F99" s="111" t="s">
        <v>953</v>
      </c>
      <c r="G99" s="126">
        <v>915993</v>
      </c>
      <c r="H99" s="129" t="s">
        <v>858</v>
      </c>
      <c r="I99" s="66">
        <v>42658</v>
      </c>
      <c r="J99" s="66"/>
      <c r="K99" s="26">
        <v>46326</v>
      </c>
      <c r="L99" s="11">
        <v>104000</v>
      </c>
      <c r="M99" s="14">
        <f>-104000+93600</f>
        <v>-10400</v>
      </c>
      <c r="N99" s="13" t="s">
        <v>970</v>
      </c>
      <c r="P99" s="191"/>
      <c r="Q99" s="191"/>
      <c r="R99" s="191"/>
    </row>
    <row r="100" spans="1:18" s="6" customFormat="1">
      <c r="A100" t="s">
        <v>664</v>
      </c>
      <c r="B100" s="114">
        <v>12230</v>
      </c>
      <c r="C100" s="36" t="s">
        <v>109</v>
      </c>
      <c r="D100" s="114">
        <v>195387</v>
      </c>
      <c r="E100" s="87">
        <v>43373</v>
      </c>
      <c r="F100" s="111" t="s">
        <v>1039</v>
      </c>
      <c r="G100" s="130">
        <v>924068</v>
      </c>
      <c r="H100" s="129">
        <v>9020</v>
      </c>
      <c r="I100" s="15">
        <v>43344</v>
      </c>
      <c r="J100" s="15"/>
      <c r="K100" s="26">
        <v>43708</v>
      </c>
      <c r="L100" s="11">
        <v>7500</v>
      </c>
      <c r="M100" s="14">
        <v>-7500</v>
      </c>
      <c r="N100" s="13" t="s">
        <v>986</v>
      </c>
      <c r="P100" s="191"/>
      <c r="Q100" s="191"/>
      <c r="R100" s="191"/>
    </row>
    <row r="101" spans="1:18" s="6" customFormat="1">
      <c r="A101" t="s">
        <v>664</v>
      </c>
      <c r="B101" s="114">
        <v>12230</v>
      </c>
      <c r="C101" s="36" t="s">
        <v>109</v>
      </c>
      <c r="D101" s="114">
        <v>214677</v>
      </c>
      <c r="E101" s="87">
        <v>43801</v>
      </c>
      <c r="F101" s="111" t="s">
        <v>18</v>
      </c>
      <c r="G101" s="130">
        <v>929490</v>
      </c>
      <c r="H101" s="129" t="s">
        <v>741</v>
      </c>
      <c r="I101" s="15">
        <v>43769</v>
      </c>
      <c r="J101" s="15"/>
      <c r="K101" s="26">
        <v>47514</v>
      </c>
      <c r="L101" s="11">
        <v>195000</v>
      </c>
      <c r="M101" s="14">
        <f>-195000+175500+14500-5000+5000</f>
        <v>-5000</v>
      </c>
      <c r="N101" s="13" t="s">
        <v>2751</v>
      </c>
      <c r="P101" s="191"/>
      <c r="Q101" s="191"/>
      <c r="R101" s="191"/>
    </row>
    <row r="102" spans="1:18" s="6" customFormat="1">
      <c r="A102" s="5" t="s">
        <v>664</v>
      </c>
      <c r="B102" s="116">
        <v>12230</v>
      </c>
      <c r="C102" s="58" t="s">
        <v>109</v>
      </c>
      <c r="D102" s="116">
        <v>214852</v>
      </c>
      <c r="E102" s="87">
        <v>43851</v>
      </c>
      <c r="F102" s="111" t="s">
        <v>655</v>
      </c>
      <c r="G102" s="130">
        <v>929328</v>
      </c>
      <c r="H102" s="129" t="s">
        <v>994</v>
      </c>
      <c r="I102" s="15">
        <v>43795</v>
      </c>
      <c r="J102" s="15"/>
      <c r="K102" s="26">
        <v>47452</v>
      </c>
      <c r="L102" s="14">
        <v>411485</v>
      </c>
      <c r="M102" s="14">
        <f>-411485+289423.89-289423.89+411485</f>
        <v>0</v>
      </c>
      <c r="N102" s="13" t="s">
        <v>970</v>
      </c>
      <c r="P102" s="191"/>
      <c r="Q102" s="191"/>
      <c r="R102" s="191"/>
    </row>
    <row r="103" spans="1:18" s="6" customFormat="1">
      <c r="A103" t="s">
        <v>664</v>
      </c>
      <c r="B103" s="114">
        <v>12230</v>
      </c>
      <c r="C103" s="36" t="s">
        <v>109</v>
      </c>
      <c r="D103" s="114">
        <v>216343</v>
      </c>
      <c r="E103" s="87">
        <v>43934</v>
      </c>
      <c r="F103" s="111" t="s">
        <v>29</v>
      </c>
      <c r="G103" s="130">
        <v>928681</v>
      </c>
      <c r="H103" s="129">
        <v>9240</v>
      </c>
      <c r="I103" s="15">
        <v>43753</v>
      </c>
      <c r="J103" s="15"/>
      <c r="K103" s="26">
        <v>44119</v>
      </c>
      <c r="L103" s="11">
        <v>5000</v>
      </c>
      <c r="M103" s="14">
        <v>-5000</v>
      </c>
      <c r="N103" s="13" t="s">
        <v>986</v>
      </c>
      <c r="P103" s="191"/>
      <c r="Q103" s="191"/>
      <c r="R103" s="191"/>
    </row>
    <row r="104" spans="1:18" s="6" customFormat="1">
      <c r="A104" t="s">
        <v>664</v>
      </c>
      <c r="B104" s="114">
        <v>12230</v>
      </c>
      <c r="C104" s="36" t="s">
        <v>109</v>
      </c>
      <c r="D104" s="114">
        <v>218653</v>
      </c>
      <c r="E104" s="87">
        <v>44013</v>
      </c>
      <c r="F104" s="111" t="s">
        <v>810</v>
      </c>
      <c r="G104" s="130">
        <v>931018</v>
      </c>
      <c r="H104" s="129" t="s">
        <v>849</v>
      </c>
      <c r="I104" s="15">
        <v>43952</v>
      </c>
      <c r="J104" s="15"/>
      <c r="K104" s="26">
        <v>44317</v>
      </c>
      <c r="L104" s="11">
        <v>137300</v>
      </c>
      <c r="M104" s="14">
        <v>0</v>
      </c>
      <c r="N104" s="13" t="s">
        <v>986</v>
      </c>
      <c r="P104" s="191"/>
      <c r="Q104" s="191"/>
      <c r="R104" s="191"/>
    </row>
    <row r="105" spans="1:18" s="6" customFormat="1">
      <c r="A105" t="s">
        <v>664</v>
      </c>
      <c r="B105" s="114">
        <v>12230</v>
      </c>
      <c r="C105" s="36" t="s">
        <v>109</v>
      </c>
      <c r="D105" s="114">
        <v>218655</v>
      </c>
      <c r="E105" s="87">
        <v>44196</v>
      </c>
      <c r="F105" s="111" t="s">
        <v>1275</v>
      </c>
      <c r="G105" s="130">
        <v>929370</v>
      </c>
      <c r="H105" s="129" t="s">
        <v>874</v>
      </c>
      <c r="I105" s="15">
        <v>43845</v>
      </c>
      <c r="J105" s="15"/>
      <c r="K105" s="26">
        <v>44211</v>
      </c>
      <c r="L105" s="11">
        <v>366547</v>
      </c>
      <c r="M105" s="14">
        <f>-366547+91636.75+274910.25</f>
        <v>0</v>
      </c>
      <c r="N105" s="13" t="s">
        <v>986</v>
      </c>
      <c r="P105" s="191"/>
      <c r="Q105" s="191"/>
      <c r="R105" s="191"/>
    </row>
    <row r="106" spans="1:18" s="6" customFormat="1">
      <c r="A106" t="s">
        <v>664</v>
      </c>
      <c r="B106" s="114">
        <v>12230</v>
      </c>
      <c r="C106" s="36" t="s">
        <v>109</v>
      </c>
      <c r="D106" s="114">
        <v>220318</v>
      </c>
      <c r="E106" s="87">
        <v>44196</v>
      </c>
      <c r="F106" s="111" t="s">
        <v>1315</v>
      </c>
      <c r="G106" s="130">
        <v>931579</v>
      </c>
      <c r="H106" s="129" t="s">
        <v>858</v>
      </c>
      <c r="I106" s="15">
        <v>43985</v>
      </c>
      <c r="J106" s="15"/>
      <c r="K106" s="26">
        <v>44715</v>
      </c>
      <c r="L106" s="11">
        <v>150000</v>
      </c>
      <c r="M106" s="14">
        <f>-150000+140000+10000</f>
        <v>0</v>
      </c>
      <c r="N106" s="185" t="s">
        <v>989</v>
      </c>
      <c r="P106" s="191"/>
      <c r="Q106" s="191"/>
      <c r="R106" s="191"/>
    </row>
    <row r="107" spans="1:18" s="6" customFormat="1">
      <c r="A107" t="s">
        <v>664</v>
      </c>
      <c r="B107" s="114">
        <v>12230</v>
      </c>
      <c r="C107" s="36" t="s">
        <v>109</v>
      </c>
      <c r="D107" s="114">
        <v>220320</v>
      </c>
      <c r="E107" s="87">
        <v>44196</v>
      </c>
      <c r="F107" s="111" t="s">
        <v>1201</v>
      </c>
      <c r="G107" s="130">
        <v>931027</v>
      </c>
      <c r="H107" s="129" t="s">
        <v>863</v>
      </c>
      <c r="I107" s="15">
        <v>43952</v>
      </c>
      <c r="J107" s="15"/>
      <c r="K107" s="26">
        <v>44317</v>
      </c>
      <c r="L107" s="11">
        <v>47225</v>
      </c>
      <c r="M107" s="14">
        <f>-47225+47225</f>
        <v>0</v>
      </c>
      <c r="N107" s="13" t="s">
        <v>986</v>
      </c>
      <c r="P107" s="191"/>
      <c r="Q107" s="191"/>
      <c r="R107" s="191"/>
    </row>
    <row r="108" spans="1:18" s="6" customFormat="1" ht="12.6" customHeight="1">
      <c r="A108" t="s">
        <v>664</v>
      </c>
      <c r="B108" s="114">
        <v>12230</v>
      </c>
      <c r="C108" s="36" t="s">
        <v>109</v>
      </c>
      <c r="D108" s="114">
        <v>219854</v>
      </c>
      <c r="E108" s="87">
        <v>44196</v>
      </c>
      <c r="F108" s="111" t="s">
        <v>829</v>
      </c>
      <c r="G108" s="130">
        <v>910760</v>
      </c>
      <c r="H108" s="129" t="s">
        <v>844</v>
      </c>
      <c r="I108" s="15">
        <v>44166</v>
      </c>
      <c r="J108" s="15"/>
      <c r="K108" s="26">
        <v>44531</v>
      </c>
      <c r="L108" s="11">
        <v>52000</v>
      </c>
      <c r="M108" s="14">
        <v>-52000</v>
      </c>
      <c r="N108" s="13" t="s">
        <v>986</v>
      </c>
      <c r="P108" s="191"/>
      <c r="Q108" s="194"/>
      <c r="R108" s="194"/>
    </row>
    <row r="109" spans="1:18" s="6" customFormat="1">
      <c r="A109" t="s">
        <v>664</v>
      </c>
      <c r="B109" s="114">
        <v>12230</v>
      </c>
      <c r="C109" s="36" t="s">
        <v>109</v>
      </c>
      <c r="D109" s="152">
        <v>220783</v>
      </c>
      <c r="E109" s="7">
        <v>44286</v>
      </c>
      <c r="F109" s="111" t="s">
        <v>1358</v>
      </c>
      <c r="G109" s="130">
        <v>934131</v>
      </c>
      <c r="H109" s="129" t="s">
        <v>739</v>
      </c>
      <c r="I109" s="15">
        <v>44179</v>
      </c>
      <c r="J109" s="15"/>
      <c r="K109" s="26">
        <v>44544</v>
      </c>
      <c r="L109" s="11">
        <v>30000</v>
      </c>
      <c r="M109" s="14">
        <f>-30000+30000</f>
        <v>0</v>
      </c>
      <c r="N109" s="13" t="s">
        <v>986</v>
      </c>
      <c r="P109" s="191"/>
      <c r="Q109" s="194"/>
      <c r="R109" s="194"/>
    </row>
    <row r="110" spans="1:18" s="6" customFormat="1">
      <c r="A110" s="5" t="s">
        <v>664</v>
      </c>
      <c r="B110" s="116">
        <v>12230</v>
      </c>
      <c r="C110" s="58" t="s">
        <v>109</v>
      </c>
      <c r="D110" s="181">
        <v>221930</v>
      </c>
      <c r="E110" s="7">
        <v>44414</v>
      </c>
      <c r="F110" s="111" t="s">
        <v>2172</v>
      </c>
      <c r="G110" s="130">
        <v>933050</v>
      </c>
      <c r="H110" s="129"/>
      <c r="I110" s="15"/>
      <c r="J110" s="15"/>
      <c r="K110" s="26"/>
      <c r="L110" s="14">
        <v>175000</v>
      </c>
      <c r="M110" s="14">
        <f>-175000+87500+87500</f>
        <v>0</v>
      </c>
      <c r="N110" s="13"/>
      <c r="P110" s="191"/>
      <c r="Q110" s="194"/>
      <c r="R110" s="194"/>
    </row>
    <row r="111" spans="1:18" s="6" customFormat="1">
      <c r="A111" s="5" t="s">
        <v>664</v>
      </c>
      <c r="B111" s="116">
        <v>12230</v>
      </c>
      <c r="C111" s="58" t="s">
        <v>109</v>
      </c>
      <c r="D111" s="181">
        <v>221746</v>
      </c>
      <c r="E111" s="7"/>
      <c r="F111" s="111" t="s">
        <v>2991</v>
      </c>
      <c r="G111" s="130">
        <v>935112</v>
      </c>
      <c r="H111" s="129"/>
      <c r="I111" s="15"/>
      <c r="J111" s="15"/>
      <c r="K111" s="26"/>
      <c r="L111" s="14"/>
      <c r="M111" s="14">
        <v>112500</v>
      </c>
      <c r="N111" s="13"/>
      <c r="P111" s="191"/>
      <c r="Q111" s="194"/>
      <c r="R111" s="194"/>
    </row>
    <row r="112" spans="1:18" s="6" customFormat="1">
      <c r="A112" s="5" t="s">
        <v>664</v>
      </c>
      <c r="B112" s="116">
        <v>12230</v>
      </c>
      <c r="C112" s="58" t="s">
        <v>109</v>
      </c>
      <c r="D112" s="181">
        <v>221747</v>
      </c>
      <c r="E112" s="7"/>
      <c r="F112" s="111" t="s">
        <v>716</v>
      </c>
      <c r="G112" s="130">
        <v>934276</v>
      </c>
      <c r="H112" s="129"/>
      <c r="I112" s="15"/>
      <c r="J112" s="15"/>
      <c r="K112" s="26"/>
      <c r="L112" s="14"/>
      <c r="M112" s="14">
        <v>101250</v>
      </c>
      <c r="N112" s="13"/>
      <c r="P112" s="191"/>
      <c r="Q112" s="194"/>
      <c r="R112" s="194"/>
    </row>
    <row r="113" spans="1:18" ht="13.5" customHeight="1">
      <c r="A113" s="6" t="s">
        <v>690</v>
      </c>
      <c r="B113" s="114">
        <v>12232</v>
      </c>
      <c r="C113" s="36" t="s">
        <v>111</v>
      </c>
      <c r="D113" s="114">
        <v>145314</v>
      </c>
      <c r="E113" s="86" t="s">
        <v>915</v>
      </c>
      <c r="F113" t="s">
        <v>843</v>
      </c>
      <c r="G113" s="126">
        <v>80173</v>
      </c>
      <c r="H113" s="129" t="s">
        <v>70</v>
      </c>
      <c r="I113" s="15">
        <v>42262</v>
      </c>
      <c r="J113" s="15"/>
      <c r="K113" s="26">
        <v>42766</v>
      </c>
      <c r="L113" s="11">
        <v>0</v>
      </c>
      <c r="M113" s="14">
        <v>-75000</v>
      </c>
      <c r="N113" s="143" t="s">
        <v>1017</v>
      </c>
      <c r="P113" s="16"/>
      <c r="Q113" s="6"/>
      <c r="R113" s="194"/>
    </row>
    <row r="114" spans="1:18" ht="12.75" customHeight="1">
      <c r="A114" s="6" t="s">
        <v>690</v>
      </c>
      <c r="B114" s="114">
        <v>12232</v>
      </c>
      <c r="C114" s="36" t="s">
        <v>111</v>
      </c>
      <c r="D114" s="114">
        <v>138026</v>
      </c>
      <c r="E114" s="74">
        <v>42155</v>
      </c>
      <c r="F114" t="s">
        <v>715</v>
      </c>
      <c r="G114" s="126">
        <v>905853</v>
      </c>
      <c r="H114" s="129">
        <v>9010</v>
      </c>
      <c r="I114" s="15">
        <v>41944</v>
      </c>
      <c r="J114" s="15"/>
      <c r="K114" s="26">
        <v>42308</v>
      </c>
      <c r="L114" s="11">
        <v>0</v>
      </c>
      <c r="M114" s="14">
        <v>-15000</v>
      </c>
      <c r="N114" s="143" t="s">
        <v>1017</v>
      </c>
      <c r="P114" s="16"/>
      <c r="Q114" s="16"/>
      <c r="R114" s="194"/>
    </row>
    <row r="115" spans="1:18" s="6" customFormat="1" ht="15" customHeight="1">
      <c r="A115" t="s">
        <v>664</v>
      </c>
      <c r="B115" s="114">
        <v>12234</v>
      </c>
      <c r="C115" s="36" t="s">
        <v>113</v>
      </c>
      <c r="D115" s="114">
        <v>192634</v>
      </c>
      <c r="E115" s="87">
        <v>43252</v>
      </c>
      <c r="F115" s="5" t="s">
        <v>25</v>
      </c>
      <c r="G115" s="235">
        <v>923742</v>
      </c>
      <c r="H115" s="236">
        <v>2175</v>
      </c>
      <c r="I115" s="237"/>
      <c r="J115" s="237"/>
      <c r="K115" s="238"/>
      <c r="L115" s="239">
        <v>740025</v>
      </c>
      <c r="M115" s="14">
        <v>-740025</v>
      </c>
      <c r="N115" s="56" t="s">
        <v>987</v>
      </c>
      <c r="P115" s="191"/>
      <c r="Q115" s="191"/>
      <c r="R115" s="191"/>
    </row>
    <row r="116" spans="1:18" s="6" customFormat="1" ht="12.75" customHeight="1">
      <c r="A116" s="5" t="s">
        <v>664</v>
      </c>
      <c r="B116" s="116">
        <v>12234</v>
      </c>
      <c r="C116" s="58" t="s">
        <v>113</v>
      </c>
      <c r="D116" s="116">
        <v>194746</v>
      </c>
      <c r="E116" s="87">
        <v>43328</v>
      </c>
      <c r="F116" s="5" t="s">
        <v>1035</v>
      </c>
      <c r="G116" s="235">
        <v>921034</v>
      </c>
      <c r="H116" s="236">
        <v>1175</v>
      </c>
      <c r="I116" s="237">
        <v>44197</v>
      </c>
      <c r="J116" s="237"/>
      <c r="K116" s="238">
        <v>46934</v>
      </c>
      <c r="L116" s="239">
        <v>526000</v>
      </c>
      <c r="M116" s="14">
        <f>-526000+175000+175000-280159.78+176000+400000+280159.78-400000</f>
        <v>0</v>
      </c>
      <c r="N116" s="56" t="s">
        <v>1539</v>
      </c>
      <c r="P116" s="191"/>
      <c r="Q116" s="194"/>
      <c r="R116" s="194"/>
    </row>
    <row r="117" spans="1:18" s="6" customFormat="1" ht="12.75" customHeight="1">
      <c r="A117" t="s">
        <v>664</v>
      </c>
      <c r="B117" s="114">
        <v>12234</v>
      </c>
      <c r="C117" s="36" t="s">
        <v>113</v>
      </c>
      <c r="D117" s="114">
        <v>195297</v>
      </c>
      <c r="E117" s="87">
        <v>43367</v>
      </c>
      <c r="F117" s="5" t="s">
        <v>634</v>
      </c>
      <c r="G117" s="235">
        <v>925441</v>
      </c>
      <c r="H117" s="236">
        <v>1185</v>
      </c>
      <c r="I117" s="237">
        <v>43404</v>
      </c>
      <c r="J117" s="237"/>
      <c r="K117" s="238">
        <v>43768</v>
      </c>
      <c r="L117" s="239">
        <v>315000</v>
      </c>
      <c r="M117" s="14">
        <f>-315000+105000+105000+105000</f>
        <v>0</v>
      </c>
      <c r="N117" s="56" t="s">
        <v>986</v>
      </c>
      <c r="P117" s="191"/>
      <c r="Q117" s="194"/>
      <c r="R117" s="194"/>
    </row>
    <row r="118" spans="1:18" s="6" customFormat="1" ht="12.75" customHeight="1">
      <c r="A118" t="s">
        <v>664</v>
      </c>
      <c r="B118" s="114">
        <v>12234</v>
      </c>
      <c r="C118" s="36" t="s">
        <v>113</v>
      </c>
      <c r="D118" s="114">
        <v>196440</v>
      </c>
      <c r="E118" s="87">
        <v>43424</v>
      </c>
      <c r="F118" s="111" t="s">
        <v>624</v>
      </c>
      <c r="G118" s="235">
        <v>924877</v>
      </c>
      <c r="H118" s="236">
        <v>116</v>
      </c>
      <c r="I118" s="237">
        <v>43419</v>
      </c>
      <c r="J118" s="237"/>
      <c r="K118" s="238">
        <v>43783</v>
      </c>
      <c r="L118" s="239">
        <v>8000</v>
      </c>
      <c r="M118" s="14">
        <f>-8000+8000</f>
        <v>0</v>
      </c>
      <c r="N118" s="56" t="s">
        <v>986</v>
      </c>
      <c r="P118" s="191"/>
      <c r="Q118" s="194"/>
      <c r="R118" s="194"/>
    </row>
    <row r="119" spans="1:18" s="6" customFormat="1" ht="12.75" customHeight="1">
      <c r="A119" t="s">
        <v>664</v>
      </c>
      <c r="B119" s="114">
        <v>12234</v>
      </c>
      <c r="C119" s="36" t="s">
        <v>113</v>
      </c>
      <c r="D119" s="114">
        <v>212691</v>
      </c>
      <c r="E119" s="87">
        <v>43717</v>
      </c>
      <c r="F119" s="111" t="s">
        <v>710</v>
      </c>
      <c r="G119" s="235">
        <v>71780</v>
      </c>
      <c r="H119" s="236">
        <v>125</v>
      </c>
      <c r="I119" s="237">
        <v>43709</v>
      </c>
      <c r="J119" s="237"/>
      <c r="K119" s="238">
        <v>10988</v>
      </c>
      <c r="L119" s="239">
        <v>300000</v>
      </c>
      <c r="M119" s="14">
        <f>-300000+270000+30000</f>
        <v>0</v>
      </c>
      <c r="N119" s="56" t="s">
        <v>950</v>
      </c>
      <c r="P119" s="191"/>
      <c r="Q119" s="194"/>
      <c r="R119" s="194"/>
    </row>
    <row r="120" spans="1:18" s="6" customFormat="1" ht="12.75" customHeight="1">
      <c r="A120" t="s">
        <v>664</v>
      </c>
      <c r="B120" s="114">
        <v>12234</v>
      </c>
      <c r="C120" s="36" t="s">
        <v>113</v>
      </c>
      <c r="D120" s="114">
        <v>214678</v>
      </c>
      <c r="E120" s="87">
        <v>43801</v>
      </c>
      <c r="F120" s="111" t="s">
        <v>1129</v>
      </c>
      <c r="G120" s="235">
        <v>929316</v>
      </c>
      <c r="H120" s="236">
        <v>117</v>
      </c>
      <c r="I120" s="237">
        <v>43743</v>
      </c>
      <c r="J120" s="237"/>
      <c r="K120" s="238">
        <v>44109</v>
      </c>
      <c r="L120" s="239">
        <v>196650</v>
      </c>
      <c r="M120" s="14">
        <f>-196650+196650</f>
        <v>0</v>
      </c>
      <c r="N120" s="56" t="s">
        <v>986</v>
      </c>
      <c r="P120" s="191"/>
      <c r="Q120" s="194"/>
      <c r="R120" s="194"/>
    </row>
    <row r="121" spans="1:18" s="6" customFormat="1" ht="12.75" customHeight="1">
      <c r="A121" t="s">
        <v>664</v>
      </c>
      <c r="B121" s="114">
        <v>12234</v>
      </c>
      <c r="C121" s="36" t="s">
        <v>113</v>
      </c>
      <c r="D121" s="114">
        <v>216388</v>
      </c>
      <c r="E121" s="87">
        <v>43938</v>
      </c>
      <c r="F121" s="111" t="s">
        <v>35</v>
      </c>
      <c r="G121" s="235">
        <v>930371</v>
      </c>
      <c r="H121" s="236">
        <v>122</v>
      </c>
      <c r="I121" s="237">
        <v>43906</v>
      </c>
      <c r="J121" s="237"/>
      <c r="K121" s="238">
        <v>47879</v>
      </c>
      <c r="L121" s="239">
        <v>600000</v>
      </c>
      <c r="M121" s="14">
        <v>-600000</v>
      </c>
      <c r="N121" s="56" t="s">
        <v>1232</v>
      </c>
      <c r="P121" s="191"/>
      <c r="Q121" s="194"/>
      <c r="R121" s="194"/>
    </row>
    <row r="122" spans="1:18" s="6" customFormat="1" ht="12.75" customHeight="1">
      <c r="A122" t="s">
        <v>664</v>
      </c>
      <c r="B122" s="114">
        <v>12234</v>
      </c>
      <c r="C122" s="36" t="s">
        <v>113</v>
      </c>
      <c r="D122" s="114">
        <v>220319</v>
      </c>
      <c r="E122" s="87">
        <v>44166</v>
      </c>
      <c r="F122" s="111" t="s">
        <v>716</v>
      </c>
      <c r="G122" s="235">
        <v>930900</v>
      </c>
      <c r="H122" s="236" t="s">
        <v>743</v>
      </c>
      <c r="I122" s="237">
        <v>44096</v>
      </c>
      <c r="J122" s="237"/>
      <c r="K122" s="238">
        <v>47817</v>
      </c>
      <c r="L122" s="239">
        <v>200000</v>
      </c>
      <c r="M122" s="14">
        <f>-200000+200000</f>
        <v>0</v>
      </c>
      <c r="N122" s="56" t="s">
        <v>2821</v>
      </c>
      <c r="P122" s="191"/>
      <c r="Q122" s="194"/>
      <c r="R122" s="194"/>
    </row>
    <row r="123" spans="1:18" s="6" customFormat="1" ht="12.75" customHeight="1">
      <c r="A123" s="5" t="s">
        <v>664</v>
      </c>
      <c r="B123" s="116">
        <v>12234</v>
      </c>
      <c r="C123" s="58" t="s">
        <v>113</v>
      </c>
      <c r="D123" s="116">
        <v>221832</v>
      </c>
      <c r="E123" s="87"/>
      <c r="F123" s="111" t="s">
        <v>839</v>
      </c>
      <c r="G123" s="235">
        <v>935273</v>
      </c>
      <c r="H123" s="236">
        <v>163</v>
      </c>
      <c r="I123" s="237">
        <v>44406</v>
      </c>
      <c r="J123" s="237"/>
      <c r="K123" s="238">
        <v>44770</v>
      </c>
      <c r="L123" s="239">
        <v>214880</v>
      </c>
      <c r="M123" s="14">
        <f>-214880+107440+107440</f>
        <v>0</v>
      </c>
      <c r="N123" s="56" t="s">
        <v>1232</v>
      </c>
      <c r="P123" s="191"/>
      <c r="Q123" s="194"/>
      <c r="R123" s="194"/>
    </row>
    <row r="124" spans="1:18" s="6" customFormat="1" ht="12.75" customHeight="1">
      <c r="A124" s="6" t="s">
        <v>664</v>
      </c>
      <c r="B124" s="116">
        <v>12234</v>
      </c>
      <c r="C124" s="58" t="s">
        <v>113</v>
      </c>
      <c r="D124" s="181">
        <v>221620</v>
      </c>
      <c r="E124" s="87">
        <v>44419</v>
      </c>
      <c r="F124" s="111" t="s">
        <v>2162</v>
      </c>
      <c r="G124" s="235">
        <v>934614</v>
      </c>
      <c r="H124" s="236">
        <v>1059</v>
      </c>
      <c r="I124" s="237">
        <v>44267</v>
      </c>
      <c r="J124" s="237"/>
      <c r="K124" s="238">
        <v>44632</v>
      </c>
      <c r="L124" s="239">
        <v>295400</v>
      </c>
      <c r="M124" s="14">
        <f>-295400+295400</f>
        <v>0</v>
      </c>
      <c r="N124" s="56" t="s">
        <v>986</v>
      </c>
      <c r="P124" s="191"/>
      <c r="Q124" s="194"/>
      <c r="R124" s="194"/>
    </row>
    <row r="125" spans="1:18" s="6" customFormat="1" ht="12.75" customHeight="1">
      <c r="A125" s="5" t="s">
        <v>664</v>
      </c>
      <c r="B125" s="116">
        <v>12234</v>
      </c>
      <c r="C125" s="58" t="s">
        <v>113</v>
      </c>
      <c r="D125" s="181">
        <v>222001</v>
      </c>
      <c r="E125" s="87">
        <v>44424</v>
      </c>
      <c r="F125" s="111" t="s">
        <v>75</v>
      </c>
      <c r="G125" s="235">
        <v>91342</v>
      </c>
      <c r="H125" s="236">
        <v>138</v>
      </c>
      <c r="I125" s="237">
        <v>44075</v>
      </c>
      <c r="J125" s="237"/>
      <c r="K125" s="238">
        <v>44439</v>
      </c>
      <c r="L125" s="239">
        <v>6000</v>
      </c>
      <c r="M125" s="14">
        <f>-6000+6000</f>
        <v>0</v>
      </c>
      <c r="N125" s="56" t="s">
        <v>986</v>
      </c>
      <c r="P125" s="191"/>
      <c r="Q125" s="194"/>
      <c r="R125" s="194"/>
    </row>
    <row r="126" spans="1:18" s="6" customFormat="1" ht="12.75" customHeight="1">
      <c r="A126" s="6" t="s">
        <v>664</v>
      </c>
      <c r="B126" s="116">
        <v>12234</v>
      </c>
      <c r="C126" s="58" t="s">
        <v>113</v>
      </c>
      <c r="D126" s="116">
        <v>221794</v>
      </c>
      <c r="E126" s="100">
        <v>44531</v>
      </c>
      <c r="F126" s="111" t="s">
        <v>2522</v>
      </c>
      <c r="G126" s="235">
        <v>934916</v>
      </c>
      <c r="H126" s="236">
        <v>1050</v>
      </c>
      <c r="I126" s="237">
        <v>44437</v>
      </c>
      <c r="J126" s="237"/>
      <c r="K126" s="238">
        <v>44801</v>
      </c>
      <c r="L126" s="239">
        <v>2343640</v>
      </c>
      <c r="M126" s="14">
        <v>-2343640</v>
      </c>
      <c r="N126" s="56" t="s">
        <v>986</v>
      </c>
      <c r="P126" s="191"/>
      <c r="Q126" s="194"/>
      <c r="R126" s="194"/>
    </row>
    <row r="127" spans="1:18" s="6" customFormat="1" ht="12.75" customHeight="1">
      <c r="A127" s="5" t="s">
        <v>664</v>
      </c>
      <c r="B127" s="116">
        <v>12234</v>
      </c>
      <c r="C127" s="58" t="s">
        <v>113</v>
      </c>
      <c r="D127" s="116">
        <v>222666</v>
      </c>
      <c r="E127" s="100">
        <v>44531</v>
      </c>
      <c r="F127" s="212" t="s">
        <v>662</v>
      </c>
      <c r="G127" s="235">
        <v>936482</v>
      </c>
      <c r="H127" s="236">
        <v>1067</v>
      </c>
      <c r="I127" s="237">
        <v>44671</v>
      </c>
      <c r="J127" s="237"/>
      <c r="K127" s="238">
        <v>48334</v>
      </c>
      <c r="L127" s="239">
        <v>3971750</v>
      </c>
      <c r="M127" s="14">
        <f>-3971750+1985875</f>
        <v>-1985875</v>
      </c>
      <c r="N127" s="56" t="s">
        <v>950</v>
      </c>
      <c r="P127" s="191"/>
      <c r="Q127" s="194"/>
      <c r="R127" s="194"/>
    </row>
    <row r="128" spans="1:18" s="6" customFormat="1" ht="12.75" customHeight="1">
      <c r="A128" s="5" t="s">
        <v>664</v>
      </c>
      <c r="B128" s="116">
        <v>12234</v>
      </c>
      <c r="C128" s="58" t="s">
        <v>113</v>
      </c>
      <c r="D128" s="116">
        <v>221125</v>
      </c>
      <c r="E128" s="87">
        <v>44329</v>
      </c>
      <c r="F128" s="111" t="s">
        <v>73</v>
      </c>
      <c r="G128" s="235">
        <v>90496</v>
      </c>
      <c r="H128" s="236">
        <v>1080</v>
      </c>
      <c r="I128" s="237">
        <v>44136</v>
      </c>
      <c r="J128" s="237"/>
      <c r="K128" s="238">
        <v>44500</v>
      </c>
      <c r="L128" s="239">
        <v>204700</v>
      </c>
      <c r="M128" s="14">
        <f>204700-204700</f>
        <v>0</v>
      </c>
      <c r="N128" s="56" t="s">
        <v>986</v>
      </c>
      <c r="P128" s="191"/>
      <c r="Q128" s="194"/>
      <c r="R128" s="194"/>
    </row>
    <row r="129" spans="1:18" s="6" customFormat="1" ht="12.75" customHeight="1">
      <c r="A129" t="s">
        <v>664</v>
      </c>
      <c r="B129" s="114">
        <v>12235</v>
      </c>
      <c r="C129" s="36" t="s">
        <v>114</v>
      </c>
      <c r="D129" s="116">
        <v>181591</v>
      </c>
      <c r="E129" s="86">
        <v>42702</v>
      </c>
      <c r="F129" t="s">
        <v>823</v>
      </c>
      <c r="G129" s="126">
        <v>915971</v>
      </c>
      <c r="H129" s="126">
        <v>2120</v>
      </c>
      <c r="I129" s="107">
        <v>42675</v>
      </c>
      <c r="J129" s="107"/>
      <c r="K129" s="107">
        <v>43404</v>
      </c>
      <c r="L129" s="11">
        <v>54800</v>
      </c>
      <c r="M129" s="14">
        <f>-54800+54800</f>
        <v>0</v>
      </c>
      <c r="N129" s="154" t="s">
        <v>1046</v>
      </c>
      <c r="P129" s="191"/>
      <c r="Q129" s="191"/>
      <c r="R129" s="191"/>
    </row>
    <row r="130" spans="1:18" ht="12.75" customHeight="1">
      <c r="A130" t="s">
        <v>664</v>
      </c>
      <c r="B130" s="117">
        <v>12235</v>
      </c>
      <c r="C130" s="36" t="s">
        <v>114</v>
      </c>
      <c r="D130" s="114">
        <v>194931</v>
      </c>
      <c r="E130" s="87">
        <v>43343</v>
      </c>
      <c r="F130" s="9" t="s">
        <v>984</v>
      </c>
      <c r="G130" s="126">
        <v>923995</v>
      </c>
      <c r="H130" s="127" t="s">
        <v>646</v>
      </c>
      <c r="I130" s="15">
        <v>43315</v>
      </c>
      <c r="J130" s="15"/>
      <c r="K130" s="15">
        <v>43863</v>
      </c>
      <c r="L130" s="11">
        <v>70780</v>
      </c>
      <c r="M130" s="14">
        <f>-70780+70780</f>
        <v>0</v>
      </c>
      <c r="N130" s="92" t="s">
        <v>1217</v>
      </c>
    </row>
    <row r="131" spans="1:18">
      <c r="A131" t="s">
        <v>664</v>
      </c>
      <c r="B131" s="117">
        <v>12235</v>
      </c>
      <c r="C131" s="36" t="s">
        <v>114</v>
      </c>
      <c r="D131" s="114">
        <v>211895</v>
      </c>
      <c r="E131" s="87">
        <v>43672</v>
      </c>
      <c r="F131" s="9" t="s">
        <v>24</v>
      </c>
      <c r="G131" s="126">
        <v>34729</v>
      </c>
      <c r="H131" s="127">
        <v>1148</v>
      </c>
      <c r="I131" s="15">
        <v>43538</v>
      </c>
      <c r="J131" s="15"/>
      <c r="K131" s="15">
        <v>44634</v>
      </c>
      <c r="L131" s="11">
        <v>25000</v>
      </c>
      <c r="M131" s="14">
        <v>-25000</v>
      </c>
      <c r="N131" s="112" t="s">
        <v>1032</v>
      </c>
    </row>
    <row r="132" spans="1:18">
      <c r="A132" s="5" t="s">
        <v>664</v>
      </c>
      <c r="B132" s="118">
        <v>12235</v>
      </c>
      <c r="C132" s="58" t="s">
        <v>114</v>
      </c>
      <c r="D132" s="116">
        <v>212160</v>
      </c>
      <c r="E132" s="87">
        <v>43690</v>
      </c>
      <c r="F132" s="6" t="s">
        <v>80</v>
      </c>
      <c r="G132" s="130">
        <v>928978</v>
      </c>
      <c r="H132" s="127" t="s">
        <v>740</v>
      </c>
      <c r="I132" s="15">
        <v>43739</v>
      </c>
      <c r="J132" s="15"/>
      <c r="K132" s="15"/>
      <c r="L132" s="14">
        <v>107020</v>
      </c>
      <c r="M132" s="14">
        <f>-107020+74914+32106</f>
        <v>0</v>
      </c>
      <c r="N132" s="112"/>
    </row>
    <row r="133" spans="1:18">
      <c r="A133" s="5" t="s">
        <v>664</v>
      </c>
      <c r="B133" s="118">
        <v>12235</v>
      </c>
      <c r="C133" s="58" t="s">
        <v>114</v>
      </c>
      <c r="D133" s="116">
        <v>212160</v>
      </c>
      <c r="E133" s="87">
        <v>44347</v>
      </c>
      <c r="F133" s="6" t="s">
        <v>80</v>
      </c>
      <c r="G133" s="130"/>
      <c r="H133" s="127"/>
      <c r="I133" s="15"/>
      <c r="J133" s="15"/>
      <c r="K133" s="15"/>
      <c r="L133" s="14">
        <v>90000</v>
      </c>
      <c r="M133" s="14">
        <f>-90000+90000</f>
        <v>0</v>
      </c>
      <c r="N133" s="112"/>
    </row>
    <row r="134" spans="1:18">
      <c r="A134" t="s">
        <v>664</v>
      </c>
      <c r="B134" s="117">
        <v>12235</v>
      </c>
      <c r="C134" s="36" t="s">
        <v>114</v>
      </c>
      <c r="D134" s="114">
        <v>212841</v>
      </c>
      <c r="E134" s="87">
        <v>43746</v>
      </c>
      <c r="F134" s="9" t="s">
        <v>827</v>
      </c>
      <c r="G134" s="126">
        <v>22510</v>
      </c>
      <c r="H134" s="127">
        <v>2144</v>
      </c>
      <c r="I134" s="15">
        <v>43497</v>
      </c>
      <c r="J134" s="15"/>
      <c r="K134" s="15">
        <v>43862</v>
      </c>
      <c r="L134" s="11">
        <v>100000</v>
      </c>
      <c r="M134" s="14">
        <f>-100000+90397.68</f>
        <v>-9602.320000000007</v>
      </c>
      <c r="N134" s="112" t="s">
        <v>986</v>
      </c>
    </row>
    <row r="135" spans="1:18">
      <c r="A135" t="s">
        <v>664</v>
      </c>
      <c r="B135" s="117">
        <v>12235</v>
      </c>
      <c r="C135" s="36" t="s">
        <v>114</v>
      </c>
      <c r="D135" s="114">
        <v>214031</v>
      </c>
      <c r="E135" s="87">
        <v>43805</v>
      </c>
      <c r="F135" s="9" t="s">
        <v>653</v>
      </c>
      <c r="G135" s="126">
        <v>23608</v>
      </c>
      <c r="H135" s="127" t="s">
        <v>1135</v>
      </c>
      <c r="I135" s="15">
        <v>43922</v>
      </c>
      <c r="J135" s="15"/>
      <c r="K135" s="15">
        <v>44957</v>
      </c>
      <c r="L135" s="11">
        <v>100000</v>
      </c>
      <c r="M135" s="14">
        <f>-100000+70000</f>
        <v>-30000</v>
      </c>
      <c r="N135" s="112" t="s">
        <v>950</v>
      </c>
    </row>
    <row r="136" spans="1:18">
      <c r="A136" t="s">
        <v>664</v>
      </c>
      <c r="B136" s="117">
        <v>12235</v>
      </c>
      <c r="C136" s="36" t="s">
        <v>114</v>
      </c>
      <c r="D136" s="114">
        <v>214710</v>
      </c>
      <c r="E136" s="87">
        <v>43832</v>
      </c>
      <c r="F136" s="9" t="s">
        <v>38</v>
      </c>
      <c r="G136" s="126">
        <v>39224</v>
      </c>
      <c r="H136" s="127">
        <v>2161</v>
      </c>
      <c r="I136" s="15">
        <v>43770</v>
      </c>
      <c r="J136" s="15"/>
      <c r="K136" s="15">
        <v>47514</v>
      </c>
      <c r="L136" s="11">
        <v>360050</v>
      </c>
      <c r="M136" s="14">
        <f>180025-360050+180025</f>
        <v>0</v>
      </c>
      <c r="N136" s="112" t="s">
        <v>970</v>
      </c>
    </row>
    <row r="137" spans="1:18">
      <c r="A137" t="s">
        <v>664</v>
      </c>
      <c r="B137" s="117">
        <v>12235</v>
      </c>
      <c r="C137" s="36" t="s">
        <v>114</v>
      </c>
      <c r="D137" s="114">
        <v>215004</v>
      </c>
      <c r="E137" s="87">
        <v>43860</v>
      </c>
      <c r="F137" s="9" t="s">
        <v>732</v>
      </c>
      <c r="G137" s="126">
        <v>929322</v>
      </c>
      <c r="H137" s="127">
        <v>1101</v>
      </c>
      <c r="I137" s="15">
        <v>43791</v>
      </c>
      <c r="J137" s="15"/>
      <c r="K137" s="15">
        <v>44522</v>
      </c>
      <c r="L137" s="11">
        <v>224700</v>
      </c>
      <c r="M137" s="14">
        <f>-224700+112350+112350</f>
        <v>0</v>
      </c>
      <c r="N137" s="112" t="s">
        <v>989</v>
      </c>
    </row>
    <row r="138" spans="1:18">
      <c r="A138" t="s">
        <v>664</v>
      </c>
      <c r="B138" s="117">
        <v>12235</v>
      </c>
      <c r="C138" s="36" t="s">
        <v>114</v>
      </c>
      <c r="D138" s="114">
        <v>215076</v>
      </c>
      <c r="E138" s="87">
        <v>43871</v>
      </c>
      <c r="F138" s="9" t="s">
        <v>625</v>
      </c>
      <c r="G138" s="126">
        <v>24778</v>
      </c>
      <c r="H138" s="127">
        <v>1217</v>
      </c>
      <c r="I138" s="15">
        <v>43790</v>
      </c>
      <c r="J138" s="15"/>
      <c r="K138" s="15">
        <v>44156</v>
      </c>
      <c r="L138" s="11">
        <v>62500</v>
      </c>
      <c r="M138" s="14">
        <f>-62500+62500</f>
        <v>0</v>
      </c>
      <c r="N138" s="112" t="s">
        <v>986</v>
      </c>
    </row>
    <row r="139" spans="1:18">
      <c r="A139" t="s">
        <v>664</v>
      </c>
      <c r="B139" s="117">
        <v>12235</v>
      </c>
      <c r="C139" s="36" t="s">
        <v>114</v>
      </c>
      <c r="D139" s="114">
        <v>215005</v>
      </c>
      <c r="E139" s="87">
        <v>43871</v>
      </c>
      <c r="F139" s="9" t="s">
        <v>655</v>
      </c>
      <c r="G139" s="126">
        <v>929924</v>
      </c>
      <c r="H139" s="127">
        <v>1037</v>
      </c>
      <c r="I139" s="15">
        <v>43796</v>
      </c>
      <c r="J139" s="15"/>
      <c r="K139" s="15">
        <v>47452</v>
      </c>
      <c r="L139" s="11">
        <v>404900</v>
      </c>
      <c r="M139" s="14">
        <f>-404090+404090</f>
        <v>0</v>
      </c>
      <c r="N139" s="112" t="s">
        <v>970</v>
      </c>
    </row>
    <row r="140" spans="1:18">
      <c r="A140" t="s">
        <v>664</v>
      </c>
      <c r="B140" s="117">
        <v>12235</v>
      </c>
      <c r="C140" s="36" t="s">
        <v>114</v>
      </c>
      <c r="D140" s="114">
        <v>215371</v>
      </c>
      <c r="E140" s="87">
        <v>43871</v>
      </c>
      <c r="F140" s="9" t="s">
        <v>1181</v>
      </c>
      <c r="G140" s="126">
        <v>929745</v>
      </c>
      <c r="H140" s="127" t="s">
        <v>16</v>
      </c>
      <c r="I140" s="15">
        <v>43770</v>
      </c>
      <c r="J140" s="15"/>
      <c r="K140" s="15">
        <v>44136</v>
      </c>
      <c r="L140" s="11">
        <v>25000</v>
      </c>
      <c r="M140" s="14">
        <f>-25000+25000</f>
        <v>0</v>
      </c>
      <c r="N140" s="112" t="s">
        <v>986</v>
      </c>
    </row>
    <row r="141" spans="1:18">
      <c r="A141" t="s">
        <v>664</v>
      </c>
      <c r="B141" s="117">
        <v>12235</v>
      </c>
      <c r="C141" s="36" t="s">
        <v>114</v>
      </c>
      <c r="D141" s="114">
        <v>219128</v>
      </c>
      <c r="E141" s="87">
        <v>44028</v>
      </c>
      <c r="F141" s="9" t="s">
        <v>612</v>
      </c>
      <c r="G141" s="126">
        <v>50412</v>
      </c>
      <c r="H141" s="127">
        <v>2157</v>
      </c>
      <c r="I141" s="15">
        <v>43933</v>
      </c>
      <c r="J141" s="15"/>
      <c r="K141" s="15">
        <v>44298</v>
      </c>
      <c r="L141" s="11">
        <v>74800</v>
      </c>
      <c r="M141" s="14">
        <f>-74800+74800</f>
        <v>0</v>
      </c>
      <c r="N141" s="112" t="s">
        <v>986</v>
      </c>
      <c r="Q141" s="194"/>
      <c r="R141" s="194"/>
    </row>
    <row r="142" spans="1:18">
      <c r="A142" t="s">
        <v>664</v>
      </c>
      <c r="B142" s="117">
        <v>12235</v>
      </c>
      <c r="C142" s="36" t="s">
        <v>114</v>
      </c>
      <c r="D142" s="114">
        <v>220178</v>
      </c>
      <c r="E142" s="87">
        <v>44138</v>
      </c>
      <c r="F142" s="9" t="s">
        <v>1282</v>
      </c>
      <c r="G142" s="126">
        <v>932985</v>
      </c>
      <c r="H142" s="127">
        <v>2145</v>
      </c>
      <c r="I142" s="15">
        <v>44477</v>
      </c>
      <c r="J142" s="15"/>
      <c r="K142" s="15">
        <v>45206</v>
      </c>
      <c r="L142" s="11">
        <v>750000</v>
      </c>
      <c r="M142" s="14">
        <f>-750000+500000</f>
        <v>-250000</v>
      </c>
      <c r="N142" s="112" t="s">
        <v>989</v>
      </c>
    </row>
    <row r="143" spans="1:18">
      <c r="A143" t="s">
        <v>664</v>
      </c>
      <c r="B143" s="117">
        <v>12235</v>
      </c>
      <c r="C143" s="36" t="s">
        <v>114</v>
      </c>
      <c r="D143" s="114">
        <v>220421</v>
      </c>
      <c r="E143" s="87">
        <v>44154</v>
      </c>
      <c r="F143" s="9" t="s">
        <v>801</v>
      </c>
      <c r="G143" s="126">
        <v>23536</v>
      </c>
      <c r="H143" s="127">
        <v>2162</v>
      </c>
      <c r="I143" s="15">
        <v>43814</v>
      </c>
      <c r="J143" s="15"/>
      <c r="K143" s="15">
        <v>44180</v>
      </c>
      <c r="L143" s="11">
        <v>90000</v>
      </c>
      <c r="M143" s="14">
        <v>-90000</v>
      </c>
      <c r="N143" s="112" t="s">
        <v>986</v>
      </c>
    </row>
    <row r="144" spans="1:18">
      <c r="A144" s="5" t="s">
        <v>664</v>
      </c>
      <c r="B144" s="118">
        <v>12235</v>
      </c>
      <c r="C144" s="58" t="s">
        <v>114</v>
      </c>
      <c r="D144" s="116">
        <v>219754</v>
      </c>
      <c r="E144" s="87">
        <v>44265</v>
      </c>
      <c r="F144" s="6" t="s">
        <v>1435</v>
      </c>
      <c r="G144" s="130">
        <v>929412</v>
      </c>
      <c r="H144" s="127"/>
      <c r="I144" s="15"/>
      <c r="J144" s="15"/>
      <c r="K144" s="15"/>
      <c r="L144" s="14">
        <v>90000</v>
      </c>
      <c r="M144" s="14">
        <f>90000-90000</f>
        <v>0</v>
      </c>
      <c r="N144" s="112" t="s">
        <v>1540</v>
      </c>
    </row>
    <row r="145" spans="1:18">
      <c r="A145" t="s">
        <v>664</v>
      </c>
      <c r="B145" s="117">
        <v>12235</v>
      </c>
      <c r="C145" s="36" t="s">
        <v>114</v>
      </c>
      <c r="D145" s="116">
        <v>221132</v>
      </c>
      <c r="E145" s="87">
        <v>44287</v>
      </c>
      <c r="F145" s="6" t="s">
        <v>21</v>
      </c>
      <c r="G145" s="130">
        <v>932681</v>
      </c>
      <c r="H145" s="127"/>
      <c r="I145" s="15"/>
      <c r="J145" s="15"/>
      <c r="K145" s="15"/>
      <c r="L145" s="14">
        <v>825000</v>
      </c>
      <c r="M145" s="14">
        <f>-825000+825000</f>
        <v>0</v>
      </c>
      <c r="N145" s="92" t="s">
        <v>2523</v>
      </c>
    </row>
    <row r="146" spans="1:18" s="188" customFormat="1">
      <c r="A146" s="225" t="s">
        <v>664</v>
      </c>
      <c r="B146" s="226">
        <v>12235</v>
      </c>
      <c r="C146" s="227" t="s">
        <v>114</v>
      </c>
      <c r="D146" s="241">
        <v>220590</v>
      </c>
      <c r="E146" s="242">
        <v>44287</v>
      </c>
      <c r="F146" s="243" t="s">
        <v>2827</v>
      </c>
      <c r="G146" s="230">
        <v>932582</v>
      </c>
      <c r="H146" s="231">
        <v>9212</v>
      </c>
      <c r="I146" s="232">
        <v>44136</v>
      </c>
      <c r="J146" s="232"/>
      <c r="K146" s="232"/>
      <c r="L146" s="233">
        <v>6000</v>
      </c>
      <c r="M146" s="233">
        <v>-6000</v>
      </c>
      <c r="N146" s="234" t="s">
        <v>2828</v>
      </c>
      <c r="O146" s="234"/>
      <c r="P146" s="196"/>
      <c r="Q146" s="196"/>
      <c r="R146" s="196"/>
    </row>
    <row r="147" spans="1:18">
      <c r="A147" t="s">
        <v>664</v>
      </c>
      <c r="B147" s="117">
        <v>12235</v>
      </c>
      <c r="C147" s="36" t="s">
        <v>114</v>
      </c>
      <c r="D147" s="116">
        <v>221212</v>
      </c>
      <c r="E147" s="87">
        <v>44309</v>
      </c>
      <c r="F147" s="6" t="s">
        <v>1723</v>
      </c>
      <c r="G147" s="130">
        <v>934120</v>
      </c>
      <c r="H147" s="127" t="s">
        <v>669</v>
      </c>
      <c r="I147" s="15">
        <v>44432</v>
      </c>
      <c r="J147" s="15"/>
      <c r="K147" s="15">
        <v>45161</v>
      </c>
      <c r="L147" s="14">
        <v>448700</v>
      </c>
      <c r="M147" s="14">
        <v>-448700</v>
      </c>
      <c r="N147" s="112" t="s">
        <v>989</v>
      </c>
    </row>
    <row r="148" spans="1:18">
      <c r="A148" s="5" t="s">
        <v>664</v>
      </c>
      <c r="B148" s="118">
        <v>12235</v>
      </c>
      <c r="C148" s="58" t="s">
        <v>114</v>
      </c>
      <c r="D148" s="116">
        <v>221221</v>
      </c>
      <c r="E148" s="87">
        <v>44312</v>
      </c>
      <c r="F148" s="6" t="s">
        <v>1724</v>
      </c>
      <c r="G148" s="130">
        <v>934939</v>
      </c>
      <c r="H148" s="127">
        <v>1204</v>
      </c>
      <c r="I148" s="15">
        <v>44372</v>
      </c>
      <c r="J148" s="15"/>
      <c r="K148" s="15">
        <v>45101</v>
      </c>
      <c r="L148" s="14">
        <v>187380</v>
      </c>
      <c r="M148" s="14">
        <v>-187380</v>
      </c>
      <c r="N148" s="112" t="s">
        <v>989</v>
      </c>
    </row>
    <row r="149" spans="1:18">
      <c r="A149" s="5" t="s">
        <v>664</v>
      </c>
      <c r="B149" s="118">
        <v>12235</v>
      </c>
      <c r="C149" s="58" t="s">
        <v>114</v>
      </c>
      <c r="D149" s="181">
        <v>221912</v>
      </c>
      <c r="E149" s="87">
        <v>44469</v>
      </c>
      <c r="F149" s="6" t="s">
        <v>2207</v>
      </c>
      <c r="G149" s="130">
        <v>935847</v>
      </c>
      <c r="H149" s="127" t="s">
        <v>2829</v>
      </c>
      <c r="I149" s="15">
        <v>44866</v>
      </c>
      <c r="J149" s="15"/>
      <c r="K149" s="15">
        <v>50344</v>
      </c>
      <c r="L149" s="14">
        <v>4900000</v>
      </c>
      <c r="M149" s="14">
        <f>-17509.35+6412+17509.35+16151.25+20462.5+17509.35-4900000+55069.41+60514.75</f>
        <v>-4723880.74</v>
      </c>
      <c r="N149" s="112" t="s">
        <v>970</v>
      </c>
    </row>
    <row r="150" spans="1:18">
      <c r="A150" s="5" t="s">
        <v>664</v>
      </c>
      <c r="B150" s="118">
        <v>12235</v>
      </c>
      <c r="C150" s="58" t="s">
        <v>114</v>
      </c>
      <c r="D150" s="181">
        <v>221921</v>
      </c>
      <c r="E150" s="87">
        <v>44469</v>
      </c>
      <c r="F150" s="199" t="s">
        <v>2317</v>
      </c>
      <c r="G150" s="130">
        <v>931702</v>
      </c>
      <c r="H150" s="127">
        <v>1109</v>
      </c>
      <c r="I150" s="15">
        <v>44346</v>
      </c>
      <c r="J150" s="15"/>
      <c r="K150" s="15">
        <v>45075</v>
      </c>
      <c r="L150" s="14">
        <v>170660</v>
      </c>
      <c r="M150" s="14">
        <f>-170660+100000</f>
        <v>-70660</v>
      </c>
      <c r="N150" s="112" t="s">
        <v>989</v>
      </c>
    </row>
    <row r="151" spans="1:18">
      <c r="A151" t="s">
        <v>664</v>
      </c>
      <c r="B151" s="117">
        <v>12235</v>
      </c>
      <c r="C151" s="36" t="s">
        <v>114</v>
      </c>
      <c r="D151" s="181">
        <v>220591</v>
      </c>
      <c r="E151" s="87">
        <v>44561</v>
      </c>
      <c r="F151" s="199" t="s">
        <v>649</v>
      </c>
      <c r="G151" s="130">
        <v>931759</v>
      </c>
      <c r="H151" s="127" t="s">
        <v>701</v>
      </c>
      <c r="I151" s="15">
        <v>44348</v>
      </c>
      <c r="J151" s="15"/>
      <c r="K151" s="15">
        <v>45077</v>
      </c>
      <c r="L151" s="14">
        <v>475000</v>
      </c>
      <c r="M151" s="14">
        <v>-475000</v>
      </c>
      <c r="N151" s="112" t="s">
        <v>989</v>
      </c>
    </row>
    <row r="152" spans="1:18">
      <c r="A152" s="5" t="s">
        <v>664</v>
      </c>
      <c r="B152" s="118">
        <v>12235</v>
      </c>
      <c r="C152" s="58" t="s">
        <v>114</v>
      </c>
      <c r="D152" s="181">
        <v>222607</v>
      </c>
      <c r="E152" s="87">
        <v>44561</v>
      </c>
      <c r="F152" s="199" t="s">
        <v>2741</v>
      </c>
      <c r="G152" s="130">
        <v>936166</v>
      </c>
      <c r="H152" s="127">
        <v>1223</v>
      </c>
      <c r="I152" s="15">
        <v>44447</v>
      </c>
      <c r="J152" s="15"/>
      <c r="K152" s="15">
        <v>44811</v>
      </c>
      <c r="L152" s="14">
        <v>100000</v>
      </c>
      <c r="M152" s="14">
        <v>-100000</v>
      </c>
      <c r="N152" s="112" t="s">
        <v>986</v>
      </c>
    </row>
    <row r="153" spans="1:18">
      <c r="A153" s="5" t="s">
        <v>664</v>
      </c>
      <c r="B153" s="118">
        <v>12235</v>
      </c>
      <c r="C153" s="58" t="s">
        <v>114</v>
      </c>
      <c r="D153" s="181">
        <v>222610</v>
      </c>
      <c r="E153" s="87">
        <v>44561</v>
      </c>
      <c r="F153" s="199" t="s">
        <v>2312</v>
      </c>
      <c r="G153" s="130">
        <v>936356</v>
      </c>
      <c r="H153" s="127" t="s">
        <v>706</v>
      </c>
      <c r="I153" s="15">
        <v>44497</v>
      </c>
      <c r="J153" s="15"/>
      <c r="K153" s="15">
        <v>48244</v>
      </c>
      <c r="L153" s="14">
        <v>342240</v>
      </c>
      <c r="M153" s="14">
        <v>-342240</v>
      </c>
      <c r="N153" s="112" t="s">
        <v>970</v>
      </c>
    </row>
    <row r="154" spans="1:18" s="188" customFormat="1">
      <c r="A154" s="225" t="s">
        <v>664</v>
      </c>
      <c r="B154" s="226">
        <v>12235</v>
      </c>
      <c r="C154" s="227" t="s">
        <v>114</v>
      </c>
      <c r="D154" s="272">
        <v>222673</v>
      </c>
      <c r="E154" s="228">
        <v>44540</v>
      </c>
      <c r="F154" s="229" t="s">
        <v>1879</v>
      </c>
      <c r="G154" s="230">
        <v>933910</v>
      </c>
      <c r="H154" s="231">
        <v>2105</v>
      </c>
      <c r="I154" s="232">
        <v>44207</v>
      </c>
      <c r="J154" s="232"/>
      <c r="K154" s="232">
        <v>44936</v>
      </c>
      <c r="L154" s="233">
        <v>437400</v>
      </c>
      <c r="M154" s="233">
        <v>437400</v>
      </c>
      <c r="N154" s="234" t="s">
        <v>2820</v>
      </c>
      <c r="O154" s="234"/>
      <c r="P154" s="196"/>
      <c r="Q154" s="196"/>
      <c r="R154" s="196"/>
    </row>
    <row r="155" spans="1:18">
      <c r="A155" s="5" t="s">
        <v>664</v>
      </c>
      <c r="B155" s="118">
        <v>12235</v>
      </c>
      <c r="C155" s="58" t="s">
        <v>114</v>
      </c>
      <c r="D155" s="181">
        <v>223086</v>
      </c>
      <c r="E155" s="87">
        <v>44561</v>
      </c>
      <c r="F155" s="199" t="s">
        <v>28</v>
      </c>
      <c r="G155" s="130">
        <v>23257</v>
      </c>
      <c r="H155" s="127">
        <v>1039</v>
      </c>
      <c r="I155" s="15">
        <v>44500</v>
      </c>
      <c r="J155" s="15"/>
      <c r="K155" s="15">
        <v>48244</v>
      </c>
      <c r="L155" s="14">
        <v>363400</v>
      </c>
      <c r="M155" s="14">
        <v>-363400</v>
      </c>
      <c r="N155" s="112" t="s">
        <v>970</v>
      </c>
    </row>
    <row r="156" spans="1:18">
      <c r="A156" s="5" t="s">
        <v>664</v>
      </c>
      <c r="B156" s="118">
        <v>12235</v>
      </c>
      <c r="C156" s="58" t="s">
        <v>114</v>
      </c>
      <c r="D156" s="116">
        <v>222924</v>
      </c>
      <c r="E156" s="87">
        <v>44505</v>
      </c>
      <c r="F156" s="199" t="s">
        <v>633</v>
      </c>
      <c r="G156" s="130">
        <v>931017</v>
      </c>
      <c r="H156" s="127" t="s">
        <v>702</v>
      </c>
      <c r="I156" s="15">
        <v>44643</v>
      </c>
      <c r="J156" s="15"/>
      <c r="K156" s="15">
        <v>45007</v>
      </c>
      <c r="L156" s="14">
        <v>814755</v>
      </c>
      <c r="M156" s="14">
        <f>-814755+271585</f>
        <v>-543170</v>
      </c>
      <c r="N156" s="112" t="s">
        <v>986</v>
      </c>
    </row>
    <row r="157" spans="1:18">
      <c r="A157" s="5" t="s">
        <v>664</v>
      </c>
      <c r="B157" s="118">
        <v>12235</v>
      </c>
      <c r="C157" s="58" t="s">
        <v>114</v>
      </c>
      <c r="D157" s="116">
        <v>222865</v>
      </c>
      <c r="E157" s="87">
        <v>44505</v>
      </c>
      <c r="F157" s="199" t="s">
        <v>2748</v>
      </c>
      <c r="G157" s="130">
        <v>930738</v>
      </c>
      <c r="H157" s="127" t="s">
        <v>2830</v>
      </c>
      <c r="I157" s="15">
        <v>44608</v>
      </c>
      <c r="J157" s="15"/>
      <c r="K157" s="15">
        <v>45153</v>
      </c>
      <c r="L157" s="14">
        <v>911300</v>
      </c>
      <c r="M157" s="14">
        <f>-911300+303766.66</f>
        <v>-607533.34000000008</v>
      </c>
      <c r="N157" s="112" t="s">
        <v>2824</v>
      </c>
    </row>
    <row r="158" spans="1:18" ht="12" customHeight="1">
      <c r="A158" s="6" t="s">
        <v>690</v>
      </c>
      <c r="B158" s="114">
        <v>12240</v>
      </c>
      <c r="C158" s="36" t="s">
        <v>119</v>
      </c>
      <c r="D158" s="114">
        <v>145429</v>
      </c>
      <c r="E158" s="65" t="s">
        <v>934</v>
      </c>
      <c r="F158" s="5" t="s">
        <v>627</v>
      </c>
      <c r="G158" s="126">
        <v>902617</v>
      </c>
      <c r="H158" s="129">
        <v>307</v>
      </c>
      <c r="I158" s="15" t="s">
        <v>78</v>
      </c>
      <c r="J158" s="15"/>
      <c r="K158" s="15" t="s">
        <v>78</v>
      </c>
      <c r="L158" s="11">
        <v>0</v>
      </c>
      <c r="M158" s="14">
        <v>-15835</v>
      </c>
      <c r="N158" s="143" t="s">
        <v>1017</v>
      </c>
      <c r="P158" s="16"/>
      <c r="Q158" s="16"/>
      <c r="R158" s="194"/>
    </row>
    <row r="159" spans="1:18" ht="12" customHeight="1">
      <c r="A159" s="6" t="s">
        <v>690</v>
      </c>
      <c r="B159" s="114">
        <v>12240</v>
      </c>
      <c r="C159" s="36" t="s">
        <v>119</v>
      </c>
      <c r="D159" s="114">
        <v>136797</v>
      </c>
      <c r="E159" s="65" t="s">
        <v>934</v>
      </c>
      <c r="F159" s="5" t="s">
        <v>815</v>
      </c>
      <c r="G159" s="126">
        <v>903520</v>
      </c>
      <c r="H159" s="129">
        <v>424</v>
      </c>
      <c r="I159" s="15" t="s">
        <v>78</v>
      </c>
      <c r="J159" s="15"/>
      <c r="K159" s="15" t="s">
        <v>78</v>
      </c>
      <c r="L159" s="11">
        <v>0</v>
      </c>
      <c r="M159" s="14">
        <v>-10125</v>
      </c>
      <c r="N159" s="143" t="s">
        <v>1017</v>
      </c>
      <c r="P159" s="16"/>
      <c r="Q159" s="16"/>
      <c r="R159" s="194"/>
    </row>
    <row r="160" spans="1:18">
      <c r="A160" s="6" t="s">
        <v>690</v>
      </c>
      <c r="B160" s="114">
        <v>12240</v>
      </c>
      <c r="C160" s="36" t="s">
        <v>119</v>
      </c>
      <c r="D160" s="114">
        <v>146821</v>
      </c>
      <c r="E160" s="65" t="s">
        <v>934</v>
      </c>
      <c r="F160" s="5" t="s">
        <v>651</v>
      </c>
      <c r="G160" s="126">
        <v>909116</v>
      </c>
      <c r="H160" s="129">
        <v>623</v>
      </c>
      <c r="I160" s="15" t="s">
        <v>78</v>
      </c>
      <c r="J160" s="15"/>
      <c r="K160" s="15" t="s">
        <v>78</v>
      </c>
      <c r="L160" s="11">
        <v>0</v>
      </c>
      <c r="M160" s="14">
        <v>-6700</v>
      </c>
      <c r="N160" s="143" t="s">
        <v>1017</v>
      </c>
      <c r="P160" s="16"/>
      <c r="Q160" s="16"/>
      <c r="R160" s="194"/>
    </row>
    <row r="161" spans="1:18">
      <c r="A161" s="6" t="s">
        <v>690</v>
      </c>
      <c r="B161" s="116">
        <v>12247</v>
      </c>
      <c r="C161" s="58" t="s">
        <v>126</v>
      </c>
      <c r="D161" s="116">
        <v>141210</v>
      </c>
      <c r="E161" s="66" t="s">
        <v>911</v>
      </c>
      <c r="F161" s="5" t="s">
        <v>916</v>
      </c>
      <c r="G161" s="130">
        <v>905219</v>
      </c>
      <c r="H161" s="129">
        <v>1180</v>
      </c>
      <c r="I161" s="66">
        <v>41991</v>
      </c>
      <c r="J161" s="66"/>
      <c r="K161" s="15">
        <f>I161+365</f>
        <v>42356</v>
      </c>
      <c r="L161" s="11">
        <v>0</v>
      </c>
      <c r="M161" s="14">
        <v>-238500</v>
      </c>
      <c r="N161" s="143" t="s">
        <v>1017</v>
      </c>
      <c r="P161" s="16"/>
      <c r="Q161" s="6"/>
      <c r="R161" s="194"/>
    </row>
    <row r="162" spans="1:18">
      <c r="A162" s="6" t="s">
        <v>690</v>
      </c>
      <c r="B162" s="116">
        <v>12247</v>
      </c>
      <c r="C162" s="58" t="s">
        <v>126</v>
      </c>
      <c r="D162" s="116">
        <v>54233</v>
      </c>
      <c r="E162" s="76">
        <v>39141</v>
      </c>
      <c r="F162" s="5" t="s">
        <v>18</v>
      </c>
      <c r="G162" s="130">
        <v>241242</v>
      </c>
      <c r="H162" s="134" t="s">
        <v>19</v>
      </c>
      <c r="I162" s="66">
        <v>39114</v>
      </c>
      <c r="J162" s="66"/>
      <c r="K162" s="26">
        <v>43496</v>
      </c>
      <c r="L162" s="11">
        <v>0</v>
      </c>
      <c r="M162" s="14">
        <v>-200000</v>
      </c>
      <c r="N162" s="142" t="s">
        <v>948</v>
      </c>
      <c r="P162" s="16"/>
      <c r="Q162" s="6"/>
      <c r="R162" s="194"/>
    </row>
    <row r="163" spans="1:18">
      <c r="A163" s="6" t="s">
        <v>690</v>
      </c>
      <c r="B163" s="116">
        <v>12247</v>
      </c>
      <c r="C163" s="58" t="s">
        <v>126</v>
      </c>
      <c r="D163" s="114">
        <v>130349</v>
      </c>
      <c r="E163" s="76">
        <v>41726</v>
      </c>
      <c r="F163" t="s">
        <v>711</v>
      </c>
      <c r="G163" s="126">
        <v>86167</v>
      </c>
      <c r="H163" s="129">
        <v>132</v>
      </c>
      <c r="I163" s="66">
        <v>40940</v>
      </c>
      <c r="J163" s="66"/>
      <c r="K163" s="26">
        <v>44592</v>
      </c>
      <c r="L163" s="11">
        <v>0</v>
      </c>
      <c r="M163" s="14">
        <v>-30000</v>
      </c>
      <c r="N163" s="142" t="s">
        <v>948</v>
      </c>
      <c r="P163" s="16"/>
      <c r="Q163" s="6"/>
      <c r="R163" s="194"/>
    </row>
    <row r="164" spans="1:18">
      <c r="A164" s="6" t="s">
        <v>690</v>
      </c>
      <c r="B164" s="116">
        <v>12247</v>
      </c>
      <c r="C164" s="58" t="s">
        <v>126</v>
      </c>
      <c r="D164" s="114">
        <v>142867</v>
      </c>
      <c r="E164" s="65" t="s">
        <v>934</v>
      </c>
      <c r="F164" t="s">
        <v>937</v>
      </c>
      <c r="G164" s="126">
        <v>86869</v>
      </c>
      <c r="H164" s="129">
        <v>603</v>
      </c>
      <c r="I164" s="15"/>
      <c r="J164" s="15"/>
      <c r="K164" s="26"/>
      <c r="L164" s="11">
        <v>0</v>
      </c>
      <c r="M164" s="14">
        <v>-16936</v>
      </c>
      <c r="N164" s="142" t="s">
        <v>954</v>
      </c>
      <c r="P164" s="16"/>
      <c r="Q164" s="6"/>
      <c r="R164" s="194"/>
    </row>
    <row r="165" spans="1:18">
      <c r="A165" s="6" t="s">
        <v>690</v>
      </c>
      <c r="B165" s="116">
        <v>12247</v>
      </c>
      <c r="C165" s="58" t="s">
        <v>126</v>
      </c>
      <c r="D165" s="114">
        <v>142862</v>
      </c>
      <c r="E165" s="65" t="s">
        <v>934</v>
      </c>
      <c r="F165" t="s">
        <v>936</v>
      </c>
      <c r="G165" s="126">
        <v>910484</v>
      </c>
      <c r="H165" s="129">
        <v>412</v>
      </c>
      <c r="I165" s="15"/>
      <c r="J165" s="15"/>
      <c r="K165" s="26"/>
      <c r="L165" s="11">
        <v>0</v>
      </c>
      <c r="M165" s="14">
        <v>-15000</v>
      </c>
      <c r="N165" s="142" t="s">
        <v>954</v>
      </c>
      <c r="P165" s="16"/>
      <c r="Q165" s="6"/>
      <c r="R165" s="194"/>
    </row>
    <row r="166" spans="1:18">
      <c r="A166" s="6" t="s">
        <v>690</v>
      </c>
      <c r="B166" s="116">
        <v>12247</v>
      </c>
      <c r="C166" s="58" t="s">
        <v>126</v>
      </c>
      <c r="D166" s="114">
        <v>141160</v>
      </c>
      <c r="E166" s="76">
        <v>42094</v>
      </c>
      <c r="F166" s="5" t="s">
        <v>656</v>
      </c>
      <c r="G166" s="126">
        <v>905986</v>
      </c>
      <c r="H166" s="129">
        <v>9060</v>
      </c>
      <c r="I166" s="15">
        <v>42021</v>
      </c>
      <c r="J166" s="15"/>
      <c r="K166" s="26">
        <v>42385</v>
      </c>
      <c r="L166" s="11">
        <v>0</v>
      </c>
      <c r="M166" s="14">
        <v>-10000</v>
      </c>
      <c r="N166" s="143" t="s">
        <v>1017</v>
      </c>
      <c r="P166" s="16"/>
      <c r="Q166" s="6"/>
      <c r="R166" s="194"/>
    </row>
    <row r="167" spans="1:18">
      <c r="A167" s="6" t="s">
        <v>690</v>
      </c>
      <c r="B167" s="116">
        <v>12247</v>
      </c>
      <c r="C167" s="58" t="s">
        <v>126</v>
      </c>
      <c r="D167" s="114">
        <v>136894</v>
      </c>
      <c r="E167" s="65">
        <v>42243</v>
      </c>
      <c r="F167" s="5" t="s">
        <v>871</v>
      </c>
      <c r="G167" s="126">
        <v>910977</v>
      </c>
      <c r="H167" s="129">
        <v>9040</v>
      </c>
      <c r="I167" s="15">
        <v>42186</v>
      </c>
      <c r="J167" s="15"/>
      <c r="K167" s="26">
        <v>43281</v>
      </c>
      <c r="L167" s="11">
        <v>0</v>
      </c>
      <c r="M167" s="14">
        <v>-10000</v>
      </c>
      <c r="N167" s="142" t="s">
        <v>948</v>
      </c>
      <c r="P167" s="16"/>
      <c r="Q167" s="6"/>
      <c r="R167" s="194"/>
    </row>
    <row r="168" spans="1:18">
      <c r="A168" s="6" t="s">
        <v>690</v>
      </c>
      <c r="B168" s="116">
        <v>12247</v>
      </c>
      <c r="C168" s="58" t="s">
        <v>126</v>
      </c>
      <c r="D168" s="114">
        <v>102120</v>
      </c>
      <c r="E168" s="76">
        <v>41851</v>
      </c>
      <c r="F168" t="s">
        <v>714</v>
      </c>
      <c r="G168" s="126">
        <v>62427</v>
      </c>
      <c r="H168" s="129">
        <v>9210</v>
      </c>
      <c r="I168" s="66">
        <v>41640</v>
      </c>
      <c r="J168" s="66"/>
      <c r="K168" s="26">
        <v>42369</v>
      </c>
      <c r="L168" s="11">
        <v>0</v>
      </c>
      <c r="M168" s="14">
        <v>-4092.16</v>
      </c>
      <c r="N168" s="143" t="s">
        <v>1017</v>
      </c>
      <c r="P168" s="16"/>
      <c r="Q168" s="6"/>
      <c r="R168" s="194"/>
    </row>
    <row r="169" spans="1:18">
      <c r="A169" s="6" t="s">
        <v>690</v>
      </c>
      <c r="B169" s="114">
        <v>12248</v>
      </c>
      <c r="C169" s="36" t="s">
        <v>127</v>
      </c>
      <c r="D169" s="114">
        <v>128732</v>
      </c>
      <c r="E169" s="76">
        <v>42155</v>
      </c>
      <c r="F169" t="s">
        <v>69</v>
      </c>
      <c r="G169" s="126">
        <v>46279</v>
      </c>
      <c r="H169" s="134">
        <v>2020</v>
      </c>
      <c r="I169" s="66">
        <v>42152</v>
      </c>
      <c r="J169" s="66"/>
      <c r="K169" s="26">
        <v>43830</v>
      </c>
      <c r="L169" s="11">
        <v>400000</v>
      </c>
      <c r="M169" s="14">
        <f>-400000+400000</f>
        <v>0</v>
      </c>
      <c r="N169" s="13" t="s">
        <v>985</v>
      </c>
      <c r="P169" s="16"/>
      <c r="Q169" s="16"/>
      <c r="R169" s="194"/>
    </row>
    <row r="170" spans="1:18">
      <c r="A170" s="6" t="s">
        <v>690</v>
      </c>
      <c r="B170" s="114">
        <v>12248</v>
      </c>
      <c r="C170" s="36" t="s">
        <v>127</v>
      </c>
      <c r="D170" s="114">
        <v>142870</v>
      </c>
      <c r="E170" s="65" t="s">
        <v>927</v>
      </c>
      <c r="F170" t="s">
        <v>1</v>
      </c>
      <c r="G170" s="126">
        <v>45964</v>
      </c>
      <c r="H170" s="134">
        <v>70</v>
      </c>
      <c r="I170" s="66">
        <v>42323</v>
      </c>
      <c r="J170" s="66"/>
      <c r="K170" s="26">
        <v>43496</v>
      </c>
      <c r="L170" s="11">
        <v>180000</v>
      </c>
      <c r="M170" s="14">
        <f>-180000+180000</f>
        <v>0</v>
      </c>
      <c r="N170" s="13" t="s">
        <v>970</v>
      </c>
      <c r="P170" s="16"/>
      <c r="Q170" s="6"/>
      <c r="R170" s="194"/>
    </row>
    <row r="171" spans="1:18" ht="12.75" customHeight="1">
      <c r="A171" s="6" t="s">
        <v>690</v>
      </c>
      <c r="B171" s="114">
        <v>12248</v>
      </c>
      <c r="C171" s="36" t="s">
        <v>127</v>
      </c>
      <c r="D171" s="114">
        <v>92570</v>
      </c>
      <c r="E171" s="87"/>
      <c r="F171" t="s">
        <v>28</v>
      </c>
      <c r="G171" s="126">
        <v>46009</v>
      </c>
      <c r="H171" s="134">
        <v>4020</v>
      </c>
      <c r="I171" s="66">
        <v>38671</v>
      </c>
      <c r="J171" s="66"/>
      <c r="K171" s="26">
        <v>44227</v>
      </c>
      <c r="L171" s="11">
        <v>575000</v>
      </c>
      <c r="M171" s="14">
        <f>-575000+460000</f>
        <v>-115000</v>
      </c>
      <c r="N171" s="25" t="s">
        <v>44</v>
      </c>
      <c r="P171" s="16"/>
      <c r="Q171" s="6"/>
      <c r="R171" s="194"/>
    </row>
    <row r="172" spans="1:18" ht="12.6" customHeight="1">
      <c r="A172" s="6" t="s">
        <v>690</v>
      </c>
      <c r="B172" s="116">
        <v>12248</v>
      </c>
      <c r="C172" s="58" t="s">
        <v>127</v>
      </c>
      <c r="D172" s="116">
        <v>148401</v>
      </c>
      <c r="E172" s="76">
        <v>42460</v>
      </c>
      <c r="F172" s="5" t="s">
        <v>18</v>
      </c>
      <c r="G172" s="274">
        <v>46972</v>
      </c>
      <c r="H172" s="134">
        <v>2004</v>
      </c>
      <c r="I172" s="15">
        <v>42425</v>
      </c>
      <c r="J172" s="15"/>
      <c r="K172" s="26">
        <v>46053</v>
      </c>
      <c r="L172" s="11">
        <v>100000</v>
      </c>
      <c r="M172" s="14">
        <f>-100000+85000</f>
        <v>-15000</v>
      </c>
      <c r="N172" s="13" t="s">
        <v>970</v>
      </c>
      <c r="P172" s="16"/>
      <c r="Q172" s="6"/>
      <c r="R172" s="194"/>
    </row>
    <row r="173" spans="1:18" ht="12.75" customHeight="1">
      <c r="A173" t="s">
        <v>664</v>
      </c>
      <c r="B173" s="116">
        <v>12253</v>
      </c>
      <c r="C173" s="58" t="s">
        <v>132</v>
      </c>
      <c r="D173" s="116">
        <v>186776</v>
      </c>
      <c r="E173" s="76">
        <v>42976</v>
      </c>
      <c r="F173" s="5" t="s">
        <v>54</v>
      </c>
      <c r="G173" s="130" t="s">
        <v>980</v>
      </c>
      <c r="H173" s="134">
        <v>311</v>
      </c>
      <c r="I173" s="15">
        <v>43056</v>
      </c>
      <c r="J173" s="15"/>
      <c r="K173" s="15">
        <v>43420</v>
      </c>
      <c r="L173" s="11">
        <v>100000</v>
      </c>
      <c r="M173" s="14">
        <f>-100000+100000</f>
        <v>0</v>
      </c>
      <c r="N173" s="13" t="s">
        <v>986</v>
      </c>
      <c r="O173" s="6"/>
      <c r="Q173" s="194"/>
      <c r="R173" s="194"/>
    </row>
    <row r="174" spans="1:18" ht="12.75" customHeight="1">
      <c r="A174" t="s">
        <v>664</v>
      </c>
      <c r="B174" s="116">
        <v>12253</v>
      </c>
      <c r="C174" s="58" t="s">
        <v>132</v>
      </c>
      <c r="D174" s="116">
        <v>212842</v>
      </c>
      <c r="E174" s="76">
        <v>43746</v>
      </c>
      <c r="F174" s="111" t="s">
        <v>613</v>
      </c>
      <c r="G174" s="130">
        <v>64474</v>
      </c>
      <c r="H174" s="134">
        <v>9005</v>
      </c>
      <c r="I174" s="15">
        <v>43556</v>
      </c>
      <c r="J174" s="15"/>
      <c r="K174" s="15">
        <v>44742</v>
      </c>
      <c r="L174" s="11">
        <v>5000</v>
      </c>
      <c r="M174" s="14">
        <v>-5000</v>
      </c>
      <c r="N174" s="13" t="s">
        <v>950</v>
      </c>
      <c r="O174" s="6"/>
      <c r="Q174" s="194"/>
      <c r="R174" s="194"/>
    </row>
    <row r="175" spans="1:18" ht="12.75" customHeight="1">
      <c r="A175" t="s">
        <v>664</v>
      </c>
      <c r="B175" s="116">
        <v>12253</v>
      </c>
      <c r="C175" s="58" t="s">
        <v>132</v>
      </c>
      <c r="D175" s="116">
        <v>214831</v>
      </c>
      <c r="E175" s="76">
        <v>43833</v>
      </c>
      <c r="F175" s="111" t="s">
        <v>1067</v>
      </c>
      <c r="G175" s="130">
        <v>927529</v>
      </c>
      <c r="H175" s="134">
        <v>116</v>
      </c>
      <c r="I175" s="15">
        <v>43660</v>
      </c>
      <c r="J175" s="15"/>
      <c r="K175" s="15">
        <v>44026</v>
      </c>
      <c r="L175" s="11">
        <v>200000</v>
      </c>
      <c r="M175" s="14">
        <f>-200000+200000</f>
        <v>0</v>
      </c>
      <c r="N175" s="13" t="s">
        <v>986</v>
      </c>
      <c r="O175" s="6"/>
      <c r="Q175" s="194"/>
      <c r="R175" s="194"/>
    </row>
    <row r="176" spans="1:18" ht="12.75" customHeight="1">
      <c r="A176" t="s">
        <v>664</v>
      </c>
      <c r="B176" s="116">
        <v>12253</v>
      </c>
      <c r="C176" s="58" t="s">
        <v>132</v>
      </c>
      <c r="D176" s="116">
        <v>221216</v>
      </c>
      <c r="E176" s="76">
        <v>44313</v>
      </c>
      <c r="F176" s="111" t="s">
        <v>1725</v>
      </c>
      <c r="G176" s="130">
        <v>934805</v>
      </c>
      <c r="H176" s="134">
        <v>206</v>
      </c>
      <c r="I176" s="15">
        <v>44423</v>
      </c>
      <c r="J176" s="15"/>
      <c r="K176" s="15">
        <v>45152</v>
      </c>
      <c r="L176" s="11">
        <v>995900</v>
      </c>
      <c r="M176" s="14">
        <v>-995900</v>
      </c>
      <c r="N176" s="13" t="s">
        <v>1784</v>
      </c>
      <c r="O176" s="6"/>
      <c r="Q176" s="194"/>
      <c r="R176" s="194"/>
    </row>
    <row r="177" spans="1:18" s="188" customFormat="1" ht="12.75" customHeight="1">
      <c r="A177" s="225" t="s">
        <v>664</v>
      </c>
      <c r="B177" s="241">
        <v>12253</v>
      </c>
      <c r="C177" s="227" t="s">
        <v>132</v>
      </c>
      <c r="D177" s="241">
        <v>221775</v>
      </c>
      <c r="E177" s="255">
        <v>44552</v>
      </c>
      <c r="F177" s="256" t="s">
        <v>2840</v>
      </c>
      <c r="G177" s="230"/>
      <c r="H177" s="257"/>
      <c r="I177" s="232"/>
      <c r="J177" s="232"/>
      <c r="K177" s="232"/>
      <c r="L177" s="233"/>
      <c r="M177" s="233">
        <v>75000</v>
      </c>
      <c r="N177" s="141" t="s">
        <v>2849</v>
      </c>
      <c r="O177" s="243"/>
      <c r="P177" s="196"/>
      <c r="Q177" s="258"/>
      <c r="R177" s="258"/>
    </row>
    <row r="178" spans="1:18" ht="12.75" customHeight="1">
      <c r="A178" t="s">
        <v>664</v>
      </c>
      <c r="B178" s="116">
        <v>12254</v>
      </c>
      <c r="C178" s="58" t="s">
        <v>133</v>
      </c>
      <c r="D178" s="116">
        <v>222656</v>
      </c>
      <c r="E178" s="76">
        <v>44500</v>
      </c>
      <c r="F178" s="111" t="s">
        <v>916</v>
      </c>
      <c r="G178" s="130">
        <v>929536</v>
      </c>
      <c r="H178" s="134">
        <v>1013</v>
      </c>
      <c r="I178" s="15">
        <v>43770</v>
      </c>
      <c r="J178" s="15"/>
      <c r="K178" s="15">
        <v>44561</v>
      </c>
      <c r="L178" s="11">
        <v>270000</v>
      </c>
      <c r="M178" s="14">
        <v>-270000</v>
      </c>
      <c r="N178" s="13" t="s">
        <v>2477</v>
      </c>
      <c r="O178" s="6"/>
      <c r="Q178" s="194"/>
      <c r="R178" s="194"/>
    </row>
    <row r="179" spans="1:18" customFormat="1">
      <c r="A179" t="s">
        <v>664</v>
      </c>
      <c r="B179" s="114">
        <v>12255</v>
      </c>
      <c r="C179" s="36" t="s">
        <v>134</v>
      </c>
      <c r="D179" s="114">
        <v>192557</v>
      </c>
      <c r="E179" s="87">
        <v>43236</v>
      </c>
      <c r="F179" t="s">
        <v>834</v>
      </c>
      <c r="G179" s="126">
        <v>923645</v>
      </c>
      <c r="H179" s="138">
        <v>1010</v>
      </c>
      <c r="I179" s="4">
        <v>43282</v>
      </c>
      <c r="J179" s="4"/>
      <c r="K179" s="4">
        <v>43646</v>
      </c>
      <c r="L179" s="11">
        <v>16666.66</v>
      </c>
      <c r="M179" s="14">
        <v>-16666.66</v>
      </c>
      <c r="N179" s="13" t="s">
        <v>986</v>
      </c>
      <c r="P179" s="191"/>
      <c r="Q179" s="194"/>
      <c r="R179" s="194"/>
    </row>
    <row r="180" spans="1:18" customFormat="1">
      <c r="A180" t="s">
        <v>664</v>
      </c>
      <c r="B180" s="114">
        <v>12255</v>
      </c>
      <c r="C180" s="36" t="s">
        <v>134</v>
      </c>
      <c r="D180" s="114">
        <v>196871</v>
      </c>
      <c r="E180" s="87">
        <v>43461</v>
      </c>
      <c r="F180" t="s">
        <v>1058</v>
      </c>
      <c r="G180" s="126">
        <v>926541</v>
      </c>
      <c r="H180" s="138">
        <v>2104</v>
      </c>
      <c r="I180" s="49">
        <v>43435</v>
      </c>
      <c r="J180" s="49"/>
      <c r="K180" s="4"/>
      <c r="L180" s="11">
        <v>50000</v>
      </c>
      <c r="M180" s="14">
        <v>-50000</v>
      </c>
      <c r="N180" s="13" t="s">
        <v>997</v>
      </c>
      <c r="P180" s="191"/>
      <c r="Q180" s="194"/>
      <c r="R180" s="194"/>
    </row>
    <row r="181" spans="1:18" customFormat="1">
      <c r="A181" t="s">
        <v>664</v>
      </c>
      <c r="B181" s="114">
        <v>12255</v>
      </c>
      <c r="C181" s="36" t="s">
        <v>134</v>
      </c>
      <c r="D181" s="114">
        <v>211698</v>
      </c>
      <c r="E181" s="87">
        <v>43657</v>
      </c>
      <c r="F181" t="s">
        <v>1097</v>
      </c>
      <c r="G181" s="126">
        <v>928153</v>
      </c>
      <c r="H181" s="138">
        <v>2154</v>
      </c>
      <c r="I181" s="4">
        <v>43605</v>
      </c>
      <c r="J181" s="4"/>
      <c r="K181" s="4">
        <v>43972</v>
      </c>
      <c r="L181" s="11">
        <v>41240</v>
      </c>
      <c r="M181" s="14">
        <v>-41240</v>
      </c>
      <c r="N181" s="13" t="s">
        <v>986</v>
      </c>
      <c r="P181" s="191"/>
      <c r="Q181" s="194"/>
      <c r="R181" s="194"/>
    </row>
    <row r="182" spans="1:18" customFormat="1">
      <c r="A182" t="s">
        <v>664</v>
      </c>
      <c r="B182" s="114">
        <v>12255</v>
      </c>
      <c r="C182" s="36" t="s">
        <v>134</v>
      </c>
      <c r="D182" s="114">
        <v>214680</v>
      </c>
      <c r="E182" s="87">
        <v>43801</v>
      </c>
      <c r="F182" s="9" t="s">
        <v>1132</v>
      </c>
      <c r="G182" s="126">
        <v>925349</v>
      </c>
      <c r="H182" s="138">
        <v>2354</v>
      </c>
      <c r="I182" s="4">
        <v>43591</v>
      </c>
      <c r="J182" s="4"/>
      <c r="K182" s="4">
        <v>43957</v>
      </c>
      <c r="L182" s="11">
        <v>100000</v>
      </c>
      <c r="M182" s="14">
        <v>-100000</v>
      </c>
      <c r="N182" s="13" t="s">
        <v>986</v>
      </c>
      <c r="P182" s="191"/>
      <c r="Q182" s="194"/>
      <c r="R182" s="194"/>
    </row>
    <row r="183" spans="1:18" customFormat="1" ht="13.5" customHeight="1">
      <c r="A183" t="s">
        <v>664</v>
      </c>
      <c r="B183" s="114">
        <v>12255</v>
      </c>
      <c r="C183" s="36" t="s">
        <v>134</v>
      </c>
      <c r="D183" s="114">
        <v>219750</v>
      </c>
      <c r="E183" s="87">
        <v>44044</v>
      </c>
      <c r="F183" s="9" t="s">
        <v>1263</v>
      </c>
      <c r="G183" s="126">
        <v>931536</v>
      </c>
      <c r="H183" s="138">
        <v>1278</v>
      </c>
      <c r="I183" s="4"/>
      <c r="J183" s="4"/>
      <c r="K183" s="4"/>
      <c r="L183" s="11">
        <v>562500</v>
      </c>
      <c r="M183" s="14">
        <f>-562500+562500</f>
        <v>0</v>
      </c>
      <c r="N183" s="13"/>
      <c r="P183" s="191"/>
      <c r="Q183" s="194"/>
      <c r="R183" s="194"/>
    </row>
    <row r="184" spans="1:18" s="5" customFormat="1">
      <c r="A184" s="116" t="s">
        <v>664</v>
      </c>
      <c r="B184" s="116">
        <v>12255</v>
      </c>
      <c r="C184" s="58" t="s">
        <v>134</v>
      </c>
      <c r="D184" s="116">
        <v>221788</v>
      </c>
      <c r="E184" s="87">
        <v>44274</v>
      </c>
      <c r="F184" s="6" t="s">
        <v>1360</v>
      </c>
      <c r="G184" s="130">
        <v>932695</v>
      </c>
      <c r="H184" s="138"/>
      <c r="I184" s="211"/>
      <c r="J184" s="211"/>
      <c r="K184" s="211"/>
      <c r="L184" s="14">
        <v>125000</v>
      </c>
      <c r="M184" s="14">
        <f>125000-125000</f>
        <v>0</v>
      </c>
      <c r="N184" s="13"/>
      <c r="P184" s="191"/>
      <c r="Q184" s="194"/>
      <c r="R184" s="194"/>
    </row>
    <row r="185" spans="1:18" s="5" customFormat="1">
      <c r="A185" s="5" t="s">
        <v>664</v>
      </c>
      <c r="B185" s="116">
        <v>12255</v>
      </c>
      <c r="C185" s="58" t="s">
        <v>134</v>
      </c>
      <c r="D185" s="181">
        <v>221756</v>
      </c>
      <c r="E185" s="87">
        <v>44377</v>
      </c>
      <c r="F185" s="6" t="s">
        <v>1875</v>
      </c>
      <c r="G185" s="130">
        <v>931682</v>
      </c>
      <c r="H185" s="138">
        <v>2464</v>
      </c>
      <c r="I185" s="211">
        <v>44044</v>
      </c>
      <c r="J185" s="211"/>
      <c r="K185" s="211">
        <v>44408</v>
      </c>
      <c r="L185" s="14">
        <v>205000</v>
      </c>
      <c r="M185" s="14">
        <v>-205000</v>
      </c>
      <c r="N185" s="13" t="s">
        <v>986</v>
      </c>
      <c r="P185" s="191"/>
      <c r="Q185" s="194"/>
      <c r="R185" s="194"/>
    </row>
    <row r="186" spans="1:18" s="5" customFormat="1">
      <c r="A186" s="5" t="s">
        <v>664</v>
      </c>
      <c r="B186" s="116">
        <v>12255</v>
      </c>
      <c r="C186" s="58" t="s">
        <v>134</v>
      </c>
      <c r="D186" s="181">
        <v>221773</v>
      </c>
      <c r="E186" s="87">
        <v>44377</v>
      </c>
      <c r="F186" s="6" t="s">
        <v>1876</v>
      </c>
      <c r="G186" s="130">
        <v>934192</v>
      </c>
      <c r="H186" s="138" t="s">
        <v>45</v>
      </c>
      <c r="I186" s="211"/>
      <c r="J186" s="211"/>
      <c r="K186" s="211"/>
      <c r="L186" s="14">
        <v>75000</v>
      </c>
      <c r="M186" s="14">
        <f>-75000+75000</f>
        <v>0</v>
      </c>
      <c r="N186" s="13"/>
      <c r="P186" s="191"/>
      <c r="Q186" s="194"/>
      <c r="R186" s="194"/>
    </row>
    <row r="187" spans="1:18" s="5" customFormat="1">
      <c r="A187" s="116" t="s">
        <v>664</v>
      </c>
      <c r="B187" s="116">
        <v>12255</v>
      </c>
      <c r="C187" s="58" t="s">
        <v>134</v>
      </c>
      <c r="D187" s="116"/>
      <c r="E187" s="87">
        <v>44329</v>
      </c>
      <c r="F187" s="6" t="s">
        <v>839</v>
      </c>
      <c r="G187" s="130">
        <v>934659</v>
      </c>
      <c r="H187" s="138"/>
      <c r="I187" s="211"/>
      <c r="J187" s="211"/>
      <c r="K187" s="211"/>
      <c r="L187" s="14">
        <v>263500</v>
      </c>
      <c r="M187" s="14">
        <f>131750-263500+65875+65875</f>
        <v>0</v>
      </c>
      <c r="N187" s="13"/>
      <c r="P187" s="191"/>
      <c r="Q187" s="194"/>
      <c r="R187" s="194"/>
    </row>
    <row r="188" spans="1:18" customFormat="1">
      <c r="A188" t="s">
        <v>664</v>
      </c>
      <c r="B188" s="114">
        <v>12263</v>
      </c>
      <c r="C188" s="36" t="s">
        <v>142</v>
      </c>
      <c r="D188" s="114">
        <v>198017</v>
      </c>
      <c r="E188" s="87">
        <v>43553</v>
      </c>
      <c r="F188" s="9" t="s">
        <v>1077</v>
      </c>
      <c r="G188" s="126">
        <v>926663</v>
      </c>
      <c r="H188" s="138">
        <v>297</v>
      </c>
      <c r="I188" s="49">
        <v>43556</v>
      </c>
      <c r="J188" s="49"/>
      <c r="K188" s="4"/>
      <c r="L188" s="11">
        <v>150000</v>
      </c>
      <c r="M188" s="14">
        <f>-150000+150000</f>
        <v>0</v>
      </c>
      <c r="N188" s="13" t="s">
        <v>997</v>
      </c>
      <c r="P188" s="191"/>
      <c r="Q188" s="191"/>
      <c r="R188" s="191"/>
    </row>
    <row r="189" spans="1:18" customFormat="1">
      <c r="A189" t="s">
        <v>664</v>
      </c>
      <c r="B189" s="114">
        <v>12263</v>
      </c>
      <c r="C189" s="36" t="s">
        <v>142</v>
      </c>
      <c r="D189" s="114">
        <v>198019</v>
      </c>
      <c r="E189" s="87">
        <v>43553</v>
      </c>
      <c r="F189" s="9" t="s">
        <v>1038</v>
      </c>
      <c r="G189" s="126">
        <v>927064</v>
      </c>
      <c r="H189" s="138">
        <v>135</v>
      </c>
      <c r="I189" s="49">
        <v>43766</v>
      </c>
      <c r="J189" s="49"/>
      <c r="K189" s="4"/>
      <c r="L189" s="11">
        <v>1271695</v>
      </c>
      <c r="M189" s="14">
        <f>-1271695+635847.5+635847.5</f>
        <v>0</v>
      </c>
      <c r="N189" s="13" t="s">
        <v>997</v>
      </c>
      <c r="P189" s="191"/>
      <c r="Q189" s="191"/>
      <c r="R189" s="191"/>
    </row>
    <row r="190" spans="1:18" customFormat="1">
      <c r="A190" t="s">
        <v>664</v>
      </c>
      <c r="B190" s="114">
        <v>12263</v>
      </c>
      <c r="C190" s="36" t="s">
        <v>142</v>
      </c>
      <c r="D190" s="114">
        <v>214847</v>
      </c>
      <c r="E190" s="87">
        <v>43847</v>
      </c>
      <c r="F190" s="9" t="s">
        <v>1161</v>
      </c>
      <c r="G190" s="126">
        <v>928887</v>
      </c>
      <c r="H190" s="138">
        <v>9029</v>
      </c>
      <c r="I190" s="4">
        <v>43813</v>
      </c>
      <c r="J190" s="4"/>
      <c r="K190" s="4">
        <v>44179</v>
      </c>
      <c r="L190" s="11">
        <v>8500</v>
      </c>
      <c r="M190" s="14">
        <v>-8500</v>
      </c>
      <c r="N190" s="13" t="s">
        <v>986</v>
      </c>
      <c r="P190" s="191"/>
      <c r="Q190" s="193"/>
      <c r="R190" s="193"/>
    </row>
    <row r="191" spans="1:18" customFormat="1">
      <c r="A191" t="s">
        <v>664</v>
      </c>
      <c r="B191" s="114">
        <v>12263</v>
      </c>
      <c r="C191" s="36" t="s">
        <v>142</v>
      </c>
      <c r="D191" s="114">
        <v>215074</v>
      </c>
      <c r="E191" s="87">
        <v>43871</v>
      </c>
      <c r="F191" s="9" t="s">
        <v>1187</v>
      </c>
      <c r="G191" s="126">
        <v>928966</v>
      </c>
      <c r="H191" s="138">
        <v>355</v>
      </c>
      <c r="I191" s="4">
        <v>43740</v>
      </c>
      <c r="J191" s="4"/>
      <c r="K191" s="4">
        <v>44106</v>
      </c>
      <c r="L191" s="11">
        <v>33780</v>
      </c>
      <c r="M191" s="14">
        <v>-33780</v>
      </c>
      <c r="N191" s="13" t="s">
        <v>986</v>
      </c>
      <c r="P191" s="191"/>
      <c r="Q191" s="193"/>
      <c r="R191" s="193"/>
    </row>
    <row r="192" spans="1:18" s="225" customFormat="1">
      <c r="A192" s="225" t="s">
        <v>664</v>
      </c>
      <c r="B192" s="241">
        <v>12263</v>
      </c>
      <c r="C192" s="227" t="s">
        <v>142</v>
      </c>
      <c r="D192" s="241">
        <v>220090</v>
      </c>
      <c r="E192" s="242">
        <v>44279</v>
      </c>
      <c r="F192" s="243" t="s">
        <v>1561</v>
      </c>
      <c r="G192" s="230">
        <v>925561</v>
      </c>
      <c r="H192" s="244">
        <v>257</v>
      </c>
      <c r="I192" s="245">
        <v>44027</v>
      </c>
      <c r="J192" s="245"/>
      <c r="K192" s="245"/>
      <c r="L192" s="233">
        <v>65000</v>
      </c>
      <c r="M192" s="233">
        <f>64724.19-65000</f>
        <v>-275.80999999999767</v>
      </c>
      <c r="N192" s="246" t="s">
        <v>2831</v>
      </c>
      <c r="P192" s="196"/>
      <c r="Q192" s="247"/>
      <c r="R192" s="247"/>
    </row>
    <row r="193" spans="1:18" s="5" customFormat="1">
      <c r="A193" t="s">
        <v>664</v>
      </c>
      <c r="B193" s="114">
        <v>12263</v>
      </c>
      <c r="C193" s="36" t="s">
        <v>142</v>
      </c>
      <c r="D193" s="270">
        <v>220757</v>
      </c>
      <c r="E193" s="100">
        <v>44377</v>
      </c>
      <c r="F193" s="6" t="s">
        <v>1877</v>
      </c>
      <c r="G193" s="130">
        <v>931278</v>
      </c>
      <c r="H193" s="138"/>
      <c r="I193" s="211"/>
      <c r="J193" s="211"/>
      <c r="K193" s="211"/>
      <c r="L193" s="14"/>
      <c r="M193" s="96">
        <f>-100000+100000</f>
        <v>0</v>
      </c>
      <c r="N193" s="52"/>
      <c r="P193" s="191"/>
      <c r="Q193" s="197"/>
      <c r="R193" s="197"/>
    </row>
    <row r="194" spans="1:18" s="5" customFormat="1">
      <c r="A194" s="5" t="s">
        <v>664</v>
      </c>
      <c r="B194" s="116">
        <v>12263</v>
      </c>
      <c r="C194" s="58" t="s">
        <v>142</v>
      </c>
      <c r="D194" s="270">
        <v>221191</v>
      </c>
      <c r="E194" s="100">
        <v>44377</v>
      </c>
      <c r="F194" s="199" t="s">
        <v>1878</v>
      </c>
      <c r="G194" s="130">
        <v>934342</v>
      </c>
      <c r="H194" s="138">
        <v>461</v>
      </c>
      <c r="I194" s="211">
        <v>44325</v>
      </c>
      <c r="J194" s="211"/>
      <c r="K194" s="211">
        <v>44873</v>
      </c>
      <c r="L194" s="14">
        <v>194310</v>
      </c>
      <c r="M194" s="96">
        <v>-194310</v>
      </c>
      <c r="N194" s="52" t="s">
        <v>2824</v>
      </c>
      <c r="P194" s="191"/>
      <c r="Q194" s="197"/>
      <c r="R194" s="197"/>
    </row>
    <row r="195" spans="1:18" ht="25.5">
      <c r="A195" t="s">
        <v>664</v>
      </c>
      <c r="B195" s="114">
        <v>12266</v>
      </c>
      <c r="C195" s="36" t="s">
        <v>145</v>
      </c>
      <c r="D195" s="114">
        <v>186245</v>
      </c>
      <c r="E195" s="65">
        <v>42927</v>
      </c>
      <c r="F195" s="9" t="s">
        <v>979</v>
      </c>
      <c r="G195" s="126">
        <v>919030</v>
      </c>
      <c r="H195" s="129">
        <v>9127</v>
      </c>
      <c r="I195" s="66">
        <v>42979</v>
      </c>
      <c r="J195" s="66"/>
      <c r="K195" s="26">
        <v>43343</v>
      </c>
      <c r="L195" s="11">
        <v>10000</v>
      </c>
      <c r="M195" s="14">
        <v>-10000</v>
      </c>
      <c r="N195" s="154" t="s">
        <v>1047</v>
      </c>
    </row>
    <row r="196" spans="1:18" ht="25.5">
      <c r="A196" t="s">
        <v>664</v>
      </c>
      <c r="B196" s="114">
        <v>12266</v>
      </c>
      <c r="C196" s="36" t="s">
        <v>145</v>
      </c>
      <c r="D196" s="114">
        <v>196860</v>
      </c>
      <c r="E196" s="65">
        <v>43461</v>
      </c>
      <c r="F196" s="9" t="s">
        <v>638</v>
      </c>
      <c r="G196" s="126">
        <v>44438</v>
      </c>
      <c r="H196" s="129" t="s">
        <v>882</v>
      </c>
      <c r="I196" s="66">
        <v>43770</v>
      </c>
      <c r="J196" s="66"/>
      <c r="K196" s="26">
        <v>44165</v>
      </c>
      <c r="L196" s="11">
        <v>150000</v>
      </c>
      <c r="M196" s="14">
        <v>-150000</v>
      </c>
      <c r="N196" s="153" t="s">
        <v>1056</v>
      </c>
    </row>
    <row r="197" spans="1:18">
      <c r="A197" t="s">
        <v>664</v>
      </c>
      <c r="B197" s="114">
        <v>12266</v>
      </c>
      <c r="C197" s="36" t="s">
        <v>145</v>
      </c>
      <c r="D197" s="114">
        <v>214915</v>
      </c>
      <c r="E197" s="65">
        <v>43854</v>
      </c>
      <c r="F197" s="9" t="s">
        <v>1159</v>
      </c>
      <c r="G197" s="126">
        <v>909918</v>
      </c>
      <c r="H197" s="129" t="s">
        <v>877</v>
      </c>
      <c r="I197" s="66">
        <v>43647</v>
      </c>
      <c r="J197" s="66"/>
      <c r="K197" s="26">
        <v>44013</v>
      </c>
      <c r="L197" s="11">
        <v>30000</v>
      </c>
      <c r="M197" s="14">
        <f>-30000+14200</f>
        <v>-15800</v>
      </c>
      <c r="N197" s="13" t="s">
        <v>986</v>
      </c>
    </row>
    <row r="198" spans="1:18">
      <c r="A198" t="s">
        <v>664</v>
      </c>
      <c r="B198" s="114">
        <v>12266</v>
      </c>
      <c r="C198" s="36" t="s">
        <v>145</v>
      </c>
      <c r="D198" s="114">
        <v>220272</v>
      </c>
      <c r="E198" s="65">
        <v>44196</v>
      </c>
      <c r="F198" s="9" t="s">
        <v>1312</v>
      </c>
      <c r="G198" s="126">
        <v>929958</v>
      </c>
      <c r="H198" s="129" t="s">
        <v>847</v>
      </c>
      <c r="I198" s="66">
        <v>43891</v>
      </c>
      <c r="J198" s="66"/>
      <c r="K198" s="26">
        <v>44255</v>
      </c>
      <c r="L198" s="11">
        <v>50000</v>
      </c>
      <c r="M198" s="14">
        <v>-50000</v>
      </c>
      <c r="N198" s="13" t="s">
        <v>986</v>
      </c>
    </row>
    <row r="199" spans="1:18">
      <c r="A199" t="s">
        <v>664</v>
      </c>
      <c r="B199" s="114">
        <v>12266</v>
      </c>
      <c r="C199" s="36" t="s">
        <v>145</v>
      </c>
      <c r="D199" s="114">
        <v>220273</v>
      </c>
      <c r="E199" s="65">
        <v>44196</v>
      </c>
      <c r="F199" s="9" t="s">
        <v>822</v>
      </c>
      <c r="G199" s="126">
        <v>932025</v>
      </c>
      <c r="H199" s="129" t="s">
        <v>861</v>
      </c>
      <c r="I199" s="66"/>
      <c r="J199" s="66"/>
      <c r="K199" s="26"/>
      <c r="L199" s="11"/>
      <c r="M199" s="14">
        <f>-50000+50000</f>
        <v>0</v>
      </c>
      <c r="N199" s="13"/>
    </row>
    <row r="200" spans="1:18">
      <c r="A200" t="s">
        <v>664</v>
      </c>
      <c r="B200" s="114">
        <v>12266</v>
      </c>
      <c r="C200" s="36" t="s">
        <v>145</v>
      </c>
      <c r="D200" s="152">
        <v>218650</v>
      </c>
      <c r="E200" s="65">
        <v>44255</v>
      </c>
      <c r="F200" s="9" t="s">
        <v>816</v>
      </c>
      <c r="G200" s="126">
        <v>71459</v>
      </c>
      <c r="H200" s="129"/>
      <c r="I200" s="66"/>
      <c r="J200" s="66"/>
      <c r="K200" s="26"/>
      <c r="L200" s="11">
        <v>241780.5</v>
      </c>
      <c r="M200" s="14">
        <f>-182000+50000-50000+50000-9780.5+141780.5</f>
        <v>0</v>
      </c>
      <c r="N200" s="13"/>
    </row>
    <row r="201" spans="1:18" s="188" customFormat="1">
      <c r="A201" s="225" t="s">
        <v>664</v>
      </c>
      <c r="B201" s="241">
        <v>12266</v>
      </c>
      <c r="C201" s="227" t="s">
        <v>145</v>
      </c>
      <c r="D201" s="271">
        <v>220737</v>
      </c>
      <c r="E201" s="248">
        <v>44286</v>
      </c>
      <c r="F201" s="243" t="s">
        <v>1541</v>
      </c>
      <c r="G201" s="230">
        <v>931619</v>
      </c>
      <c r="H201" s="249" t="s">
        <v>2832</v>
      </c>
      <c r="I201" s="250">
        <v>44136</v>
      </c>
      <c r="J201" s="250"/>
      <c r="K201" s="251"/>
      <c r="L201" s="233">
        <v>25000</v>
      </c>
      <c r="M201" s="233">
        <v>-25000</v>
      </c>
      <c r="N201" s="141" t="s">
        <v>2833</v>
      </c>
      <c r="P201" s="196"/>
      <c r="Q201" s="196"/>
      <c r="R201" s="196"/>
    </row>
    <row r="202" spans="1:18">
      <c r="A202" t="s">
        <v>664</v>
      </c>
      <c r="B202" s="114">
        <v>12266</v>
      </c>
      <c r="C202" s="36" t="s">
        <v>145</v>
      </c>
      <c r="D202" s="114">
        <v>221410</v>
      </c>
      <c r="E202" s="65">
        <v>44316</v>
      </c>
      <c r="F202" s="9" t="s">
        <v>1726</v>
      </c>
      <c r="G202" s="126">
        <v>35777</v>
      </c>
      <c r="H202" s="129"/>
      <c r="I202" s="66"/>
      <c r="J202" s="66"/>
      <c r="K202" s="26"/>
      <c r="L202" s="11">
        <v>135000</v>
      </c>
      <c r="M202" s="14">
        <f>-135000-7594.24+135000+7594.24</f>
        <v>9.0949470177292824E-12</v>
      </c>
      <c r="N202" s="13"/>
    </row>
    <row r="203" spans="1:18">
      <c r="A203" s="5" t="s">
        <v>664</v>
      </c>
      <c r="B203" s="116">
        <v>12266</v>
      </c>
      <c r="C203" s="58" t="s">
        <v>145</v>
      </c>
      <c r="D203" s="181">
        <v>221878</v>
      </c>
      <c r="E203" s="65">
        <v>44408</v>
      </c>
      <c r="F203" s="6" t="s">
        <v>2104</v>
      </c>
      <c r="G203" s="130">
        <v>931861</v>
      </c>
      <c r="H203" s="129" t="s">
        <v>2834</v>
      </c>
      <c r="I203" s="66">
        <v>44044</v>
      </c>
      <c r="J203" s="66"/>
      <c r="K203" s="26">
        <v>44408</v>
      </c>
      <c r="L203" s="14">
        <v>200000</v>
      </c>
      <c r="M203" s="14">
        <f>-L203</f>
        <v>-200000</v>
      </c>
      <c r="N203" s="13" t="s">
        <v>986</v>
      </c>
    </row>
    <row r="204" spans="1:18">
      <c r="A204" t="s">
        <v>664</v>
      </c>
      <c r="B204" s="114">
        <v>12266</v>
      </c>
      <c r="C204" s="36" t="s">
        <v>145</v>
      </c>
      <c r="D204" s="152">
        <v>221907</v>
      </c>
      <c r="E204" s="65">
        <v>44408</v>
      </c>
      <c r="F204" s="9" t="s">
        <v>2105</v>
      </c>
      <c r="G204" s="126">
        <v>935708</v>
      </c>
      <c r="H204" s="129" t="s">
        <v>879</v>
      </c>
      <c r="I204" s="66">
        <v>44593</v>
      </c>
      <c r="J204" s="66"/>
      <c r="K204" s="26">
        <v>44957</v>
      </c>
      <c r="L204" s="11">
        <v>50000</v>
      </c>
      <c r="M204" s="14">
        <f>-L204</f>
        <v>-50000</v>
      </c>
      <c r="N204" s="13" t="s">
        <v>986</v>
      </c>
    </row>
    <row r="205" spans="1:18">
      <c r="A205" t="s">
        <v>664</v>
      </c>
      <c r="B205" s="114">
        <v>12266</v>
      </c>
      <c r="C205" s="36" t="s">
        <v>145</v>
      </c>
      <c r="D205" s="152">
        <v>221627</v>
      </c>
      <c r="E205" s="65">
        <v>44347</v>
      </c>
      <c r="F205" s="9" t="s">
        <v>1781</v>
      </c>
      <c r="G205" s="126">
        <v>935005</v>
      </c>
      <c r="H205" s="129" t="s">
        <v>40</v>
      </c>
      <c r="I205" s="66">
        <v>44440</v>
      </c>
      <c r="J205" s="66"/>
      <c r="K205" s="26">
        <v>44804</v>
      </c>
      <c r="L205" s="11">
        <v>20000</v>
      </c>
      <c r="M205" s="14">
        <v>-20000</v>
      </c>
      <c r="N205" s="13" t="s">
        <v>986</v>
      </c>
    </row>
    <row r="206" spans="1:18">
      <c r="A206" t="s">
        <v>664</v>
      </c>
      <c r="B206" s="114">
        <v>12266</v>
      </c>
      <c r="C206" s="36" t="s">
        <v>145</v>
      </c>
      <c r="D206" s="152">
        <v>221641</v>
      </c>
      <c r="E206" s="65">
        <v>44347</v>
      </c>
      <c r="F206" s="9" t="s">
        <v>1782</v>
      </c>
      <c r="G206" s="126">
        <v>935003</v>
      </c>
      <c r="H206" s="129">
        <v>1003</v>
      </c>
      <c r="I206" s="66">
        <v>44621</v>
      </c>
      <c r="J206" s="66"/>
      <c r="K206" s="26">
        <v>44985</v>
      </c>
      <c r="L206" s="11">
        <v>145000</v>
      </c>
      <c r="M206" s="14">
        <v>-145000</v>
      </c>
      <c r="N206" s="13" t="s">
        <v>986</v>
      </c>
    </row>
    <row r="207" spans="1:18">
      <c r="A207" t="s">
        <v>664</v>
      </c>
      <c r="B207" s="114">
        <v>12266</v>
      </c>
      <c r="C207" s="36" t="s">
        <v>145</v>
      </c>
      <c r="D207" s="270">
        <v>222670</v>
      </c>
      <c r="E207" s="100">
        <v>44500</v>
      </c>
      <c r="F207" s="9" t="s">
        <v>2467</v>
      </c>
      <c r="G207" s="126">
        <v>936432</v>
      </c>
      <c r="H207" s="129" t="s">
        <v>883</v>
      </c>
      <c r="I207" s="66">
        <v>44652</v>
      </c>
      <c r="J207" s="66"/>
      <c r="K207" s="26">
        <v>45016</v>
      </c>
      <c r="L207" s="11">
        <v>46000</v>
      </c>
      <c r="M207" s="93">
        <v>-46000</v>
      </c>
      <c r="N207" s="13" t="s">
        <v>986</v>
      </c>
    </row>
    <row r="208" spans="1:18">
      <c r="A208" t="s">
        <v>664</v>
      </c>
      <c r="B208" s="114">
        <v>12266</v>
      </c>
      <c r="C208" s="36" t="s">
        <v>145</v>
      </c>
      <c r="D208" s="270">
        <v>222687</v>
      </c>
      <c r="E208" s="100">
        <v>44500</v>
      </c>
      <c r="F208" s="199" t="s">
        <v>2468</v>
      </c>
      <c r="G208" s="126">
        <v>930567</v>
      </c>
      <c r="H208" s="129" t="s">
        <v>2835</v>
      </c>
      <c r="I208" s="66">
        <v>44275</v>
      </c>
      <c r="J208" s="66"/>
      <c r="K208" s="26">
        <v>44639</v>
      </c>
      <c r="L208" s="11">
        <v>100000</v>
      </c>
      <c r="M208" s="93">
        <v>-100000</v>
      </c>
      <c r="N208" s="13" t="s">
        <v>986</v>
      </c>
    </row>
    <row r="209" spans="1:18">
      <c r="A209" t="s">
        <v>664</v>
      </c>
      <c r="B209" s="114">
        <v>12266</v>
      </c>
      <c r="C209" s="36" t="s">
        <v>145</v>
      </c>
      <c r="D209" s="270">
        <v>223138</v>
      </c>
      <c r="E209" s="100">
        <v>44592</v>
      </c>
      <c r="F209" s="199" t="s">
        <v>2998</v>
      </c>
      <c r="G209" s="126">
        <v>934759</v>
      </c>
      <c r="H209" s="129" t="s">
        <v>2999</v>
      </c>
      <c r="I209" s="66"/>
      <c r="J209" s="66"/>
      <c r="K209" s="26"/>
      <c r="L209" s="11"/>
      <c r="M209" s="93">
        <v>-40000</v>
      </c>
      <c r="N209" s="13"/>
    </row>
    <row r="210" spans="1:18">
      <c r="A210" t="s">
        <v>664</v>
      </c>
      <c r="B210" s="114">
        <v>12266</v>
      </c>
      <c r="C210" s="36" t="s">
        <v>145</v>
      </c>
      <c r="D210" s="270">
        <v>223141</v>
      </c>
      <c r="E210" s="100">
        <v>44592</v>
      </c>
      <c r="F210" s="199" t="s">
        <v>1725</v>
      </c>
      <c r="G210" s="126">
        <v>937586</v>
      </c>
      <c r="H210" s="129" t="s">
        <v>3000</v>
      </c>
      <c r="I210" s="66"/>
      <c r="J210" s="66"/>
      <c r="K210" s="26"/>
      <c r="L210" s="11"/>
      <c r="M210" s="93">
        <v>-478940.28</v>
      </c>
      <c r="N210" s="13"/>
    </row>
    <row r="211" spans="1:18">
      <c r="A211" t="s">
        <v>664</v>
      </c>
      <c r="B211" s="114">
        <v>12266</v>
      </c>
      <c r="C211" s="36" t="s">
        <v>145</v>
      </c>
      <c r="D211" s="270">
        <v>223552</v>
      </c>
      <c r="E211" s="100">
        <v>44592</v>
      </c>
      <c r="F211" s="199" t="s">
        <v>1130</v>
      </c>
      <c r="G211" s="126">
        <v>936188</v>
      </c>
      <c r="H211" s="129" t="s">
        <v>744</v>
      </c>
      <c r="I211" s="66"/>
      <c r="J211" s="66"/>
      <c r="K211" s="26"/>
      <c r="L211" s="11"/>
      <c r="M211" s="93">
        <v>-700000</v>
      </c>
      <c r="N211" s="13"/>
    </row>
    <row r="212" spans="1:18" customFormat="1">
      <c r="A212" t="s">
        <v>664</v>
      </c>
      <c r="B212" s="114">
        <v>12267</v>
      </c>
      <c r="C212" s="36" t="s">
        <v>146</v>
      </c>
      <c r="D212" s="114">
        <v>190804</v>
      </c>
      <c r="E212" s="66">
        <v>43182</v>
      </c>
      <c r="F212" s="9" t="s">
        <v>42</v>
      </c>
      <c r="G212" s="126">
        <v>922281</v>
      </c>
      <c r="H212" s="137" t="s">
        <v>998</v>
      </c>
      <c r="I212" s="15">
        <v>43174</v>
      </c>
      <c r="J212" s="15"/>
      <c r="K212" s="15">
        <v>46053</v>
      </c>
      <c r="L212" s="11">
        <v>7000</v>
      </c>
      <c r="M212" s="14">
        <v>-7000</v>
      </c>
      <c r="N212" s="13" t="s">
        <v>999</v>
      </c>
      <c r="P212" s="191"/>
      <c r="Q212" s="193"/>
      <c r="R212" s="193"/>
    </row>
    <row r="213" spans="1:18" customFormat="1">
      <c r="A213" t="s">
        <v>664</v>
      </c>
      <c r="B213" s="114">
        <v>12267</v>
      </c>
      <c r="C213" s="36" t="s">
        <v>146</v>
      </c>
      <c r="D213" s="114">
        <v>197362</v>
      </c>
      <c r="E213" s="66">
        <v>43496</v>
      </c>
      <c r="F213" s="9" t="s">
        <v>623</v>
      </c>
      <c r="G213" s="126">
        <v>298257</v>
      </c>
      <c r="H213" s="127" t="s">
        <v>885</v>
      </c>
      <c r="I213" s="15">
        <v>43469</v>
      </c>
      <c r="J213" s="15"/>
      <c r="K213" s="15">
        <v>44199</v>
      </c>
      <c r="L213" s="11">
        <v>92001.65</v>
      </c>
      <c r="M213" s="14">
        <f>-92001.65+92001.65</f>
        <v>0</v>
      </c>
      <c r="N213" s="13" t="s">
        <v>989</v>
      </c>
      <c r="P213" s="191"/>
      <c r="Q213" s="193"/>
      <c r="R213" s="193"/>
    </row>
    <row r="214" spans="1:18" customFormat="1">
      <c r="A214" t="s">
        <v>664</v>
      </c>
      <c r="B214" s="114">
        <v>12267</v>
      </c>
      <c r="C214" s="36" t="s">
        <v>146</v>
      </c>
      <c r="D214" s="114">
        <v>215400</v>
      </c>
      <c r="E214" s="66">
        <v>43872</v>
      </c>
      <c r="F214" s="9" t="s">
        <v>655</v>
      </c>
      <c r="G214" s="126">
        <v>929583</v>
      </c>
      <c r="H214" s="127" t="s">
        <v>908</v>
      </c>
      <c r="I214" s="15">
        <v>43795</v>
      </c>
      <c r="J214" s="15"/>
      <c r="K214" s="15">
        <v>47452</v>
      </c>
      <c r="L214" s="11">
        <v>459425</v>
      </c>
      <c r="M214" s="14">
        <f>-459425+459425</f>
        <v>0</v>
      </c>
      <c r="N214" s="13" t="s">
        <v>970</v>
      </c>
      <c r="P214" s="191"/>
      <c r="Q214" s="193"/>
      <c r="R214" s="193"/>
    </row>
    <row r="215" spans="1:18" customFormat="1">
      <c r="A215" t="s">
        <v>664</v>
      </c>
      <c r="B215" s="114">
        <v>12267</v>
      </c>
      <c r="C215" s="36" t="s">
        <v>146</v>
      </c>
      <c r="D215" s="114">
        <v>216400</v>
      </c>
      <c r="E215" s="66">
        <v>43944</v>
      </c>
      <c r="F215" s="9" t="s">
        <v>27</v>
      </c>
      <c r="G215" s="126">
        <v>89425</v>
      </c>
      <c r="H215" s="127" t="s">
        <v>858</v>
      </c>
      <c r="I215" s="15">
        <v>43862</v>
      </c>
      <c r="J215" s="15"/>
      <c r="K215" s="15">
        <v>44227</v>
      </c>
      <c r="L215" s="11">
        <v>100000</v>
      </c>
      <c r="M215" s="14">
        <v>-100000</v>
      </c>
      <c r="N215" s="13" t="s">
        <v>2836</v>
      </c>
      <c r="P215" s="191"/>
      <c r="Q215" s="193"/>
      <c r="R215" s="193"/>
    </row>
    <row r="216" spans="1:18" customFormat="1">
      <c r="A216" t="s">
        <v>664</v>
      </c>
      <c r="B216" s="114">
        <v>12267</v>
      </c>
      <c r="C216" s="36" t="s">
        <v>146</v>
      </c>
      <c r="D216" s="114">
        <v>218649</v>
      </c>
      <c r="E216" s="66">
        <v>44014</v>
      </c>
      <c r="F216" s="9" t="s">
        <v>837</v>
      </c>
      <c r="G216" s="126">
        <v>931546</v>
      </c>
      <c r="H216" s="127" t="s">
        <v>841</v>
      </c>
      <c r="I216" s="15">
        <v>44044</v>
      </c>
      <c r="J216" s="15"/>
      <c r="K216" s="15"/>
      <c r="L216" s="11">
        <v>270100</v>
      </c>
      <c r="M216" s="14">
        <f>-270100+135050+135050</f>
        <v>0</v>
      </c>
      <c r="N216" s="13" t="s">
        <v>970</v>
      </c>
      <c r="P216" s="191"/>
      <c r="Q216" s="193"/>
      <c r="R216" s="193"/>
    </row>
    <row r="217" spans="1:18" customFormat="1">
      <c r="A217" t="s">
        <v>664</v>
      </c>
      <c r="B217" s="114">
        <v>12267</v>
      </c>
      <c r="C217" s="36" t="s">
        <v>146</v>
      </c>
      <c r="D217" s="114">
        <v>219737</v>
      </c>
      <c r="E217" s="66">
        <v>44075</v>
      </c>
      <c r="F217" s="9" t="s">
        <v>1274</v>
      </c>
      <c r="G217" s="126">
        <v>931557</v>
      </c>
      <c r="H217" s="127" t="s">
        <v>884</v>
      </c>
      <c r="I217" s="15">
        <v>44036</v>
      </c>
      <c r="J217" s="15"/>
      <c r="K217" s="15"/>
      <c r="L217" s="11">
        <v>759635</v>
      </c>
      <c r="M217" s="14">
        <f>-759635+759635</f>
        <v>0</v>
      </c>
      <c r="N217" s="13"/>
      <c r="P217" s="191"/>
      <c r="Q217" s="193"/>
      <c r="R217" s="193"/>
    </row>
    <row r="218" spans="1:18" s="5" customFormat="1">
      <c r="A218" s="5" t="s">
        <v>664</v>
      </c>
      <c r="B218" s="116">
        <v>12267</v>
      </c>
      <c r="C218" s="58" t="s">
        <v>146</v>
      </c>
      <c r="D218" s="181">
        <v>220832</v>
      </c>
      <c r="E218" s="66">
        <v>44265</v>
      </c>
      <c r="F218" s="6" t="s">
        <v>1448</v>
      </c>
      <c r="G218" s="130">
        <v>934446</v>
      </c>
      <c r="H218" s="127" t="s">
        <v>876</v>
      </c>
      <c r="I218" s="15">
        <v>44470</v>
      </c>
      <c r="J218" s="15"/>
      <c r="K218" s="15">
        <v>44834</v>
      </c>
      <c r="L218" s="14">
        <v>4499999.9799999995</v>
      </c>
      <c r="M218" s="14">
        <f>-200000-462857.14+200000+462857.16-3837142.86</f>
        <v>-3837142.84</v>
      </c>
      <c r="N218" s="13" t="s">
        <v>2836</v>
      </c>
      <c r="P218" s="191"/>
      <c r="Q218" s="197"/>
      <c r="R218" s="197"/>
    </row>
    <row r="219" spans="1:18" s="5" customFormat="1">
      <c r="A219" s="5" t="s">
        <v>664</v>
      </c>
      <c r="B219" s="116">
        <v>12267</v>
      </c>
      <c r="C219" s="58" t="s">
        <v>146</v>
      </c>
      <c r="D219" s="181">
        <v>221128</v>
      </c>
      <c r="E219" s="66">
        <v>44272</v>
      </c>
      <c r="F219" s="6" t="s">
        <v>1454</v>
      </c>
      <c r="G219" s="130">
        <v>88957</v>
      </c>
      <c r="H219" s="127" t="s">
        <v>742</v>
      </c>
      <c r="I219" s="15">
        <v>43862</v>
      </c>
      <c r="J219" s="15"/>
      <c r="K219" s="15">
        <v>44592</v>
      </c>
      <c r="L219" s="14">
        <v>330000</v>
      </c>
      <c r="M219" s="93">
        <v>-203919.42</v>
      </c>
      <c r="N219" s="13" t="s">
        <v>989</v>
      </c>
      <c r="P219" s="191"/>
      <c r="Q219" s="191"/>
      <c r="R219" s="191"/>
    </row>
    <row r="220" spans="1:18" customFormat="1">
      <c r="A220" t="s">
        <v>664</v>
      </c>
      <c r="B220" s="114">
        <v>12267</v>
      </c>
      <c r="C220" s="36" t="s">
        <v>146</v>
      </c>
      <c r="D220" s="152">
        <v>221209</v>
      </c>
      <c r="E220" s="66">
        <v>44469</v>
      </c>
      <c r="F220" s="6" t="s">
        <v>811</v>
      </c>
      <c r="G220" s="126">
        <v>934940</v>
      </c>
      <c r="H220" s="127" t="s">
        <v>873</v>
      </c>
      <c r="I220" s="15">
        <v>44406</v>
      </c>
      <c r="J220" s="15"/>
      <c r="K220" s="15">
        <v>45135</v>
      </c>
      <c r="L220" s="11">
        <v>238000</v>
      </c>
      <c r="M220" s="14">
        <f>-238000+238000-238000</f>
        <v>-238000</v>
      </c>
      <c r="N220" s="13" t="s">
        <v>989</v>
      </c>
      <c r="P220" s="191"/>
      <c r="Q220" s="193"/>
      <c r="R220" s="193"/>
    </row>
    <row r="221" spans="1:18" customFormat="1">
      <c r="A221" t="s">
        <v>664</v>
      </c>
      <c r="B221" s="114">
        <v>12267</v>
      </c>
      <c r="C221" s="36" t="s">
        <v>146</v>
      </c>
      <c r="D221" s="152">
        <v>221854</v>
      </c>
      <c r="E221" s="66">
        <v>44469</v>
      </c>
      <c r="F221" s="199" t="s">
        <v>2318</v>
      </c>
      <c r="G221" s="126">
        <v>935470</v>
      </c>
      <c r="H221" s="127" t="s">
        <v>853</v>
      </c>
      <c r="I221" s="15">
        <v>44337</v>
      </c>
      <c r="J221" s="15"/>
      <c r="K221" s="15">
        <v>44701</v>
      </c>
      <c r="L221" s="11">
        <v>282800</v>
      </c>
      <c r="M221" s="14">
        <v>-282800</v>
      </c>
      <c r="N221" s="13" t="s">
        <v>2836</v>
      </c>
      <c r="P221" s="191"/>
      <c r="Q221" s="193"/>
      <c r="R221" s="193"/>
    </row>
    <row r="222" spans="1:18" customFormat="1">
      <c r="A222" t="s">
        <v>664</v>
      </c>
      <c r="B222" s="114">
        <v>12267</v>
      </c>
      <c r="C222" s="36" t="s">
        <v>146</v>
      </c>
      <c r="D222" s="152">
        <v>221876</v>
      </c>
      <c r="E222" s="66">
        <v>44469</v>
      </c>
      <c r="F222" s="199" t="s">
        <v>1157</v>
      </c>
      <c r="G222" s="126">
        <v>935263</v>
      </c>
      <c r="H222" s="127" t="s">
        <v>737</v>
      </c>
      <c r="I222" s="15">
        <v>44375</v>
      </c>
      <c r="J222" s="15"/>
      <c r="K222" s="15">
        <v>44739</v>
      </c>
      <c r="L222" s="11">
        <v>508940</v>
      </c>
      <c r="M222" s="14">
        <f>-508940+287000</f>
        <v>-221940</v>
      </c>
      <c r="N222" s="13" t="s">
        <v>2836</v>
      </c>
      <c r="P222" s="191"/>
      <c r="Q222" s="193"/>
      <c r="R222" s="193"/>
    </row>
    <row r="223" spans="1:18" ht="12.75" customHeight="1">
      <c r="A223" t="s">
        <v>664</v>
      </c>
      <c r="B223" s="114">
        <v>12268</v>
      </c>
      <c r="C223" s="36" t="s">
        <v>147</v>
      </c>
      <c r="D223" s="114">
        <v>148387</v>
      </c>
      <c r="E223" s="21">
        <v>42460</v>
      </c>
      <c r="F223" t="s">
        <v>947</v>
      </c>
      <c r="G223" s="126">
        <v>87976</v>
      </c>
      <c r="H223" s="129">
        <v>200</v>
      </c>
      <c r="I223" s="66">
        <v>41747</v>
      </c>
      <c r="J223" s="66"/>
      <c r="K223" s="26"/>
      <c r="L223" s="11">
        <v>85340</v>
      </c>
      <c r="M223" s="14">
        <f>-77331.84+1850+12145+4030+34215.48</f>
        <v>-25091.359999999993</v>
      </c>
      <c r="N223" s="13" t="s">
        <v>970</v>
      </c>
    </row>
    <row r="224" spans="1:18" ht="12.75" customHeight="1">
      <c r="A224" t="s">
        <v>664</v>
      </c>
      <c r="B224" s="114">
        <v>12268</v>
      </c>
      <c r="C224" s="36" t="s">
        <v>147</v>
      </c>
      <c r="D224" s="114">
        <v>183689</v>
      </c>
      <c r="E224" s="76">
        <v>42802</v>
      </c>
      <c r="F224" t="s">
        <v>964</v>
      </c>
      <c r="G224" s="126" t="s">
        <v>965</v>
      </c>
      <c r="H224" s="129" t="s">
        <v>966</v>
      </c>
      <c r="I224" s="66">
        <v>42594</v>
      </c>
      <c r="J224" s="66"/>
      <c r="K224" s="26">
        <v>46265</v>
      </c>
      <c r="L224" s="11">
        <v>71780</v>
      </c>
      <c r="M224" s="14">
        <f>-71780+66320</f>
        <v>-5460</v>
      </c>
      <c r="N224" s="13" t="s">
        <v>970</v>
      </c>
      <c r="Q224" s="193"/>
      <c r="R224" s="193"/>
    </row>
    <row r="225" spans="1:18" ht="12.75" customHeight="1">
      <c r="A225" t="s">
        <v>664</v>
      </c>
      <c r="B225" s="114">
        <v>12268</v>
      </c>
      <c r="C225" s="36" t="s">
        <v>147</v>
      </c>
      <c r="D225" s="114">
        <v>222006</v>
      </c>
      <c r="E225" s="76">
        <v>44469</v>
      </c>
      <c r="F225" s="9" t="s">
        <v>821</v>
      </c>
      <c r="G225" s="126">
        <v>9934033</v>
      </c>
      <c r="H225" s="129"/>
      <c r="I225" s="66"/>
      <c r="J225" s="66"/>
      <c r="K225" s="26"/>
      <c r="L225" s="11">
        <v>113600</v>
      </c>
      <c r="M225" s="14">
        <v>-113600</v>
      </c>
      <c r="N225" s="13"/>
      <c r="Q225" s="193"/>
      <c r="R225" s="193"/>
    </row>
    <row r="226" spans="1:18" ht="12.75" customHeight="1">
      <c r="A226" t="s">
        <v>664</v>
      </c>
      <c r="B226" s="114">
        <v>12269</v>
      </c>
      <c r="C226" s="36" t="s">
        <v>148</v>
      </c>
      <c r="D226" s="114">
        <v>216265</v>
      </c>
      <c r="E226" s="76">
        <v>43923</v>
      </c>
      <c r="F226" t="s">
        <v>818</v>
      </c>
      <c r="G226" s="126">
        <v>930599</v>
      </c>
      <c r="H226" s="129" t="s">
        <v>887</v>
      </c>
      <c r="I226" s="66">
        <v>43891</v>
      </c>
      <c r="J226" s="66"/>
      <c r="K226" s="26">
        <v>44256</v>
      </c>
      <c r="L226" s="11">
        <v>15000</v>
      </c>
      <c r="M226" s="14">
        <v>-15000</v>
      </c>
      <c r="N226" s="13" t="s">
        <v>986</v>
      </c>
    </row>
    <row r="227" spans="1:18" ht="12.75" customHeight="1">
      <c r="A227" t="s">
        <v>664</v>
      </c>
      <c r="B227" s="114">
        <v>12269</v>
      </c>
      <c r="C227" s="36" t="s">
        <v>148</v>
      </c>
      <c r="D227" s="114">
        <v>216269</v>
      </c>
      <c r="E227" s="76">
        <v>43924</v>
      </c>
      <c r="F227" t="s">
        <v>1228</v>
      </c>
      <c r="G227" s="126">
        <v>929238</v>
      </c>
      <c r="H227" s="129" t="s">
        <v>856</v>
      </c>
      <c r="I227" s="66">
        <v>43814</v>
      </c>
      <c r="J227" s="66"/>
      <c r="K227" s="26">
        <v>44180</v>
      </c>
      <c r="L227" s="11">
        <v>30000</v>
      </c>
      <c r="M227" s="14">
        <v>-30000</v>
      </c>
      <c r="N227" s="13" t="s">
        <v>986</v>
      </c>
    </row>
    <row r="228" spans="1:18" ht="12.75" customHeight="1">
      <c r="A228" t="s">
        <v>664</v>
      </c>
      <c r="B228" s="114">
        <v>12269</v>
      </c>
      <c r="C228" s="36" t="s">
        <v>148</v>
      </c>
      <c r="D228" s="114">
        <v>216392</v>
      </c>
      <c r="E228" s="76">
        <v>43941</v>
      </c>
      <c r="F228" t="s">
        <v>819</v>
      </c>
      <c r="G228" s="126">
        <v>66961</v>
      </c>
      <c r="H228" s="129" t="s">
        <v>888</v>
      </c>
      <c r="I228" s="66">
        <v>43763</v>
      </c>
      <c r="J228" s="66"/>
      <c r="K228" s="26">
        <v>44129</v>
      </c>
      <c r="L228" s="11">
        <v>20000</v>
      </c>
      <c r="M228" s="14">
        <v>-20000</v>
      </c>
      <c r="N228" s="13" t="s">
        <v>986</v>
      </c>
    </row>
    <row r="229" spans="1:18" ht="12.75" customHeight="1">
      <c r="A229" t="s">
        <v>664</v>
      </c>
      <c r="B229" s="114">
        <v>12269</v>
      </c>
      <c r="C229" s="36" t="s">
        <v>148</v>
      </c>
      <c r="D229" s="114">
        <v>216412</v>
      </c>
      <c r="E229" s="76">
        <v>43949</v>
      </c>
      <c r="F229" s="9" t="s">
        <v>1240</v>
      </c>
      <c r="G229" s="126">
        <v>930100</v>
      </c>
      <c r="H229" s="129" t="s">
        <v>886</v>
      </c>
      <c r="I229" s="66">
        <v>43891</v>
      </c>
      <c r="J229" s="66"/>
      <c r="K229" s="26"/>
      <c r="L229" s="11">
        <v>21855</v>
      </c>
      <c r="M229" s="14">
        <f>-21855+10000</f>
        <v>-11855</v>
      </c>
      <c r="N229" s="13" t="s">
        <v>968</v>
      </c>
    </row>
    <row r="230" spans="1:18" ht="12.75" customHeight="1">
      <c r="A230" t="s">
        <v>664</v>
      </c>
      <c r="B230" s="114">
        <v>12269</v>
      </c>
      <c r="C230" s="36" t="s">
        <v>148</v>
      </c>
      <c r="D230" s="114">
        <v>216412</v>
      </c>
      <c r="E230" s="76">
        <v>44166</v>
      </c>
      <c r="F230" s="9" t="s">
        <v>1240</v>
      </c>
      <c r="G230" s="126">
        <v>930100</v>
      </c>
      <c r="H230" s="129" t="s">
        <v>886</v>
      </c>
      <c r="I230" s="66"/>
      <c r="J230" s="66"/>
      <c r="K230" s="26"/>
      <c r="L230" s="11">
        <v>10000</v>
      </c>
      <c r="M230" s="14">
        <v>-10000</v>
      </c>
      <c r="N230" s="13"/>
    </row>
    <row r="231" spans="1:18" ht="12.75" customHeight="1">
      <c r="A231" t="s">
        <v>664</v>
      </c>
      <c r="B231" s="114">
        <v>12269</v>
      </c>
      <c r="C231" s="36" t="s">
        <v>148</v>
      </c>
      <c r="D231" s="114">
        <v>220342</v>
      </c>
      <c r="E231" s="76">
        <v>44166</v>
      </c>
      <c r="F231" s="9" t="s">
        <v>1316</v>
      </c>
      <c r="G231" s="126"/>
      <c r="H231" s="129" t="s">
        <v>15</v>
      </c>
      <c r="I231" s="66"/>
      <c r="J231" s="66"/>
      <c r="K231" s="26"/>
      <c r="L231" s="11">
        <v>50000</v>
      </c>
      <c r="M231" s="14">
        <f>-50000+19643.9+30356.1</f>
        <v>0</v>
      </c>
      <c r="N231" s="13"/>
    </row>
    <row r="232" spans="1:18" ht="12.75" customHeight="1">
      <c r="A232" s="5" t="s">
        <v>664</v>
      </c>
      <c r="B232" s="116">
        <v>12269</v>
      </c>
      <c r="C232" s="58" t="s">
        <v>148</v>
      </c>
      <c r="D232" s="116">
        <v>221783</v>
      </c>
      <c r="E232" s="76">
        <v>44288</v>
      </c>
      <c r="F232" s="6" t="s">
        <v>917</v>
      </c>
      <c r="G232" s="130">
        <v>933977</v>
      </c>
      <c r="H232" s="129"/>
      <c r="I232" s="66"/>
      <c r="J232" s="66"/>
      <c r="K232" s="26"/>
      <c r="L232" s="14">
        <v>75000</v>
      </c>
      <c r="M232" s="14">
        <f>75000-75000</f>
        <v>0</v>
      </c>
      <c r="N232" s="13"/>
    </row>
    <row r="233" spans="1:18" ht="12.75" customHeight="1">
      <c r="A233" s="5" t="s">
        <v>664</v>
      </c>
      <c r="B233" s="116">
        <v>12269</v>
      </c>
      <c r="C233" s="58" t="s">
        <v>148</v>
      </c>
      <c r="D233" s="127">
        <v>220774</v>
      </c>
      <c r="E233" s="76">
        <v>44288</v>
      </c>
      <c r="F233" s="6" t="s">
        <v>917</v>
      </c>
      <c r="G233" s="130">
        <v>933977</v>
      </c>
      <c r="H233" s="129"/>
      <c r="I233" s="66"/>
      <c r="J233" s="66"/>
      <c r="K233" s="26"/>
      <c r="L233" s="14">
        <v>75000</v>
      </c>
      <c r="M233" s="14">
        <f>75000-75000</f>
        <v>0</v>
      </c>
      <c r="N233" s="13"/>
    </row>
    <row r="234" spans="1:18" ht="10.5" customHeight="1">
      <c r="A234" t="s">
        <v>664</v>
      </c>
      <c r="B234" s="114">
        <v>12271</v>
      </c>
      <c r="C234" s="36" t="s">
        <v>150</v>
      </c>
      <c r="D234" s="114">
        <v>180836</v>
      </c>
      <c r="E234" s="65">
        <v>42664</v>
      </c>
      <c r="F234" s="5" t="s">
        <v>951</v>
      </c>
      <c r="G234" s="126">
        <v>916151</v>
      </c>
      <c r="H234" s="134">
        <v>1076</v>
      </c>
      <c r="I234" s="15">
        <v>42650</v>
      </c>
      <c r="J234" s="15"/>
      <c r="K234" s="26">
        <v>46418</v>
      </c>
      <c r="L234" s="11">
        <v>75000</v>
      </c>
      <c r="M234" s="14">
        <v>-75000</v>
      </c>
      <c r="N234" s="13" t="s">
        <v>952</v>
      </c>
      <c r="Q234" s="193"/>
      <c r="R234" s="193"/>
    </row>
    <row r="235" spans="1:18">
      <c r="A235" t="s">
        <v>664</v>
      </c>
      <c r="B235" s="114">
        <v>12271</v>
      </c>
      <c r="C235" s="36" t="s">
        <v>150</v>
      </c>
      <c r="D235" s="114">
        <v>183790</v>
      </c>
      <c r="E235" s="65">
        <v>42803</v>
      </c>
      <c r="F235" s="5" t="s">
        <v>962</v>
      </c>
      <c r="G235" s="126">
        <v>916139</v>
      </c>
      <c r="H235" s="134">
        <v>2334</v>
      </c>
      <c r="I235" s="15">
        <v>42715</v>
      </c>
      <c r="J235" s="15"/>
      <c r="K235" s="26">
        <v>46418</v>
      </c>
      <c r="L235" s="11">
        <v>75000</v>
      </c>
      <c r="M235" s="14">
        <v>-75000</v>
      </c>
      <c r="N235" s="13" t="s">
        <v>963</v>
      </c>
      <c r="Q235" s="193"/>
      <c r="R235" s="193"/>
    </row>
    <row r="236" spans="1:18" customFormat="1">
      <c r="A236" t="s">
        <v>664</v>
      </c>
      <c r="B236" s="114">
        <v>12271</v>
      </c>
      <c r="C236" s="36" t="s">
        <v>150</v>
      </c>
      <c r="D236" s="114">
        <v>209262</v>
      </c>
      <c r="E236" s="87">
        <v>43587</v>
      </c>
      <c r="F236" s="9" t="s">
        <v>1086</v>
      </c>
      <c r="G236" s="126">
        <v>924598</v>
      </c>
      <c r="H236" s="127">
        <v>2510</v>
      </c>
      <c r="I236" s="15">
        <v>43435</v>
      </c>
      <c r="J236" s="15"/>
      <c r="K236" s="4"/>
      <c r="L236" s="11">
        <v>243740</v>
      </c>
      <c r="M236" s="14">
        <v>-243740</v>
      </c>
      <c r="N236" s="13" t="s">
        <v>968</v>
      </c>
      <c r="P236" s="191"/>
      <c r="Q236" s="193"/>
      <c r="R236" s="193"/>
    </row>
    <row r="237" spans="1:18" s="5" customFormat="1">
      <c r="A237" s="5" t="s">
        <v>664</v>
      </c>
      <c r="B237" s="116">
        <v>12271</v>
      </c>
      <c r="C237" s="58" t="s">
        <v>150</v>
      </c>
      <c r="D237" s="116">
        <v>216334</v>
      </c>
      <c r="E237" s="87">
        <v>43930</v>
      </c>
      <c r="F237" s="6" t="s">
        <v>1233</v>
      </c>
      <c r="G237" s="130">
        <v>929915</v>
      </c>
      <c r="H237" s="127">
        <v>1070</v>
      </c>
      <c r="I237" s="15">
        <v>43862</v>
      </c>
      <c r="J237" s="15"/>
      <c r="K237" s="211">
        <v>44228</v>
      </c>
      <c r="L237" s="14">
        <v>50000</v>
      </c>
      <c r="M237" s="14">
        <f>-50000+55000-55000+50000</f>
        <v>0</v>
      </c>
      <c r="N237" s="13" t="s">
        <v>986</v>
      </c>
      <c r="P237" s="191"/>
      <c r="Q237" s="197"/>
      <c r="R237" s="197"/>
    </row>
    <row r="238" spans="1:18" s="5" customFormat="1">
      <c r="A238" s="5" t="s">
        <v>664</v>
      </c>
      <c r="B238" s="116">
        <v>12271</v>
      </c>
      <c r="C238" s="58" t="s">
        <v>150</v>
      </c>
      <c r="D238" s="116">
        <v>221895</v>
      </c>
      <c r="E238" s="87">
        <v>44501</v>
      </c>
      <c r="F238" s="6" t="s">
        <v>2501</v>
      </c>
      <c r="G238" s="130"/>
      <c r="H238" s="127"/>
      <c r="I238" s="15"/>
      <c r="J238" s="15"/>
      <c r="K238" s="211"/>
      <c r="L238" s="14"/>
      <c r="M238" s="96">
        <v>50000</v>
      </c>
      <c r="N238" s="13"/>
      <c r="P238" s="191"/>
      <c r="Q238" s="197"/>
      <c r="R238" s="197"/>
    </row>
    <row r="239" spans="1:18" s="5" customFormat="1">
      <c r="A239" t="s">
        <v>664</v>
      </c>
      <c r="B239" s="114">
        <v>12271</v>
      </c>
      <c r="C239" s="36" t="s">
        <v>150</v>
      </c>
      <c r="D239" s="116">
        <v>221177</v>
      </c>
      <c r="E239" s="87">
        <v>44530</v>
      </c>
      <c r="F239" s="6" t="s">
        <v>1543</v>
      </c>
      <c r="G239" s="130"/>
      <c r="H239" s="127"/>
      <c r="I239" s="15"/>
      <c r="J239" s="15"/>
      <c r="K239" s="211"/>
      <c r="L239" s="14">
        <v>50000</v>
      </c>
      <c r="M239" s="96">
        <v>-50000</v>
      </c>
      <c r="N239" s="13"/>
      <c r="P239" s="191"/>
      <c r="Q239" s="197"/>
      <c r="R239" s="197"/>
    </row>
    <row r="240" spans="1:18" s="5" customFormat="1">
      <c r="A240" s="5" t="s">
        <v>664</v>
      </c>
      <c r="B240" s="116">
        <v>12271</v>
      </c>
      <c r="C240" s="58" t="s">
        <v>150</v>
      </c>
      <c r="D240" s="116">
        <v>222030</v>
      </c>
      <c r="E240" s="87">
        <v>44530</v>
      </c>
      <c r="F240" s="6" t="s">
        <v>2502</v>
      </c>
      <c r="G240" s="130"/>
      <c r="H240" s="127"/>
      <c r="I240" s="15"/>
      <c r="J240" s="15"/>
      <c r="K240" s="211"/>
      <c r="L240" s="14">
        <v>86130</v>
      </c>
      <c r="M240" s="187">
        <v>-86130</v>
      </c>
      <c r="N240" s="13"/>
      <c r="P240" s="191"/>
      <c r="Q240" s="197"/>
      <c r="R240" s="197"/>
    </row>
    <row r="241" spans="1:18" s="5" customFormat="1">
      <c r="A241" s="5" t="s">
        <v>664</v>
      </c>
      <c r="B241" s="116">
        <v>12271</v>
      </c>
      <c r="C241" s="58" t="s">
        <v>150</v>
      </c>
      <c r="D241" s="116">
        <v>221127</v>
      </c>
      <c r="E241" s="87">
        <v>44308</v>
      </c>
      <c r="F241" s="6" t="s">
        <v>1727</v>
      </c>
      <c r="G241" s="130">
        <v>931048</v>
      </c>
      <c r="H241" s="127"/>
      <c r="I241" s="15"/>
      <c r="J241" s="15"/>
      <c r="K241" s="211"/>
      <c r="L241" s="14">
        <v>25000</v>
      </c>
      <c r="M241" s="14">
        <f>25000-25000</f>
        <v>0</v>
      </c>
      <c r="N241" s="52"/>
      <c r="P241" s="191"/>
      <c r="Q241" s="197"/>
      <c r="R241" s="197"/>
    </row>
    <row r="242" spans="1:18" s="6" customFormat="1" ht="63.75">
      <c r="A242" t="s">
        <v>664</v>
      </c>
      <c r="B242" s="114">
        <v>12277</v>
      </c>
      <c r="C242" s="36" t="s">
        <v>156</v>
      </c>
      <c r="D242" s="114">
        <v>128096</v>
      </c>
      <c r="E242" s="76">
        <v>41626</v>
      </c>
      <c r="F242" t="s">
        <v>671</v>
      </c>
      <c r="G242" s="126">
        <v>73383</v>
      </c>
      <c r="H242" s="129" t="s">
        <v>672</v>
      </c>
      <c r="I242" s="15">
        <v>41338</v>
      </c>
      <c r="J242" s="15"/>
      <c r="K242" s="26">
        <v>48852</v>
      </c>
      <c r="L242" s="11">
        <v>1320000</v>
      </c>
      <c r="M242" s="14">
        <f>-1320000+648000</f>
        <v>-672000</v>
      </c>
      <c r="N242" s="50" t="s">
        <v>1026</v>
      </c>
      <c r="P242" s="191"/>
      <c r="Q242" s="191"/>
      <c r="R242" s="191"/>
    </row>
    <row r="243" spans="1:18" s="6" customFormat="1" ht="127.5">
      <c r="A243" t="s">
        <v>664</v>
      </c>
      <c r="B243" s="114">
        <v>12277</v>
      </c>
      <c r="C243" s="36" t="s">
        <v>156</v>
      </c>
      <c r="D243" s="114">
        <v>183505</v>
      </c>
      <c r="E243" s="76">
        <v>42782</v>
      </c>
      <c r="F243" t="s">
        <v>958</v>
      </c>
      <c r="G243" s="126" t="s">
        <v>959</v>
      </c>
      <c r="H243" s="129">
        <v>233</v>
      </c>
      <c r="I243" s="15">
        <v>42757</v>
      </c>
      <c r="J243" s="15"/>
      <c r="K243" s="26">
        <f>I243+365</f>
        <v>43122</v>
      </c>
      <c r="L243" s="11">
        <v>150000</v>
      </c>
      <c r="M243" s="14">
        <v>-150000</v>
      </c>
      <c r="N243" s="154" t="s">
        <v>1048</v>
      </c>
      <c r="P243" s="191"/>
      <c r="Q243" s="191"/>
      <c r="R243" s="191"/>
    </row>
    <row r="244" spans="1:18" s="6" customFormat="1" ht="102">
      <c r="A244" t="s">
        <v>664</v>
      </c>
      <c r="B244" s="114">
        <v>12277</v>
      </c>
      <c r="C244" s="36" t="s">
        <v>156</v>
      </c>
      <c r="D244" s="114">
        <v>183484</v>
      </c>
      <c r="E244" s="76">
        <v>42783</v>
      </c>
      <c r="F244" t="s">
        <v>799</v>
      </c>
      <c r="G244" s="126" t="s">
        <v>960</v>
      </c>
      <c r="H244" s="129">
        <v>381</v>
      </c>
      <c r="I244" s="15">
        <v>42746</v>
      </c>
      <c r="J244" s="15"/>
      <c r="K244" s="26">
        <v>43110</v>
      </c>
      <c r="L244" s="11">
        <v>85000</v>
      </c>
      <c r="M244" s="14">
        <f>-85000-21180.26+42500+21180.26</f>
        <v>-42500</v>
      </c>
      <c r="N244" s="154" t="s">
        <v>1049</v>
      </c>
      <c r="P244" s="191"/>
      <c r="Q244" s="191"/>
      <c r="R244" s="191"/>
    </row>
    <row r="245" spans="1:18" s="6" customFormat="1" ht="12.75" customHeight="1">
      <c r="A245" t="s">
        <v>664</v>
      </c>
      <c r="B245" s="114">
        <v>12277</v>
      </c>
      <c r="C245" s="36" t="s">
        <v>156</v>
      </c>
      <c r="D245" s="114">
        <v>186242</v>
      </c>
      <c r="E245" s="76">
        <v>42927</v>
      </c>
      <c r="F245" t="s">
        <v>976</v>
      </c>
      <c r="G245" s="126" t="s">
        <v>977</v>
      </c>
      <c r="H245" s="129" t="s">
        <v>978</v>
      </c>
      <c r="I245" s="15">
        <v>42948</v>
      </c>
      <c r="J245" s="15"/>
      <c r="K245" s="26">
        <v>43312</v>
      </c>
      <c r="L245" s="11">
        <v>25000</v>
      </c>
      <c r="M245" s="14">
        <v>-25000</v>
      </c>
      <c r="N245" s="154" t="s">
        <v>1050</v>
      </c>
      <c r="P245" s="191"/>
      <c r="Q245" s="193"/>
      <c r="R245" s="193"/>
    </row>
    <row r="246" spans="1:18" s="6" customFormat="1" ht="12.75" customHeight="1">
      <c r="A246" t="s">
        <v>664</v>
      </c>
      <c r="B246" s="114">
        <v>12277</v>
      </c>
      <c r="C246" s="36" t="s">
        <v>156</v>
      </c>
      <c r="D246" s="114">
        <v>214674</v>
      </c>
      <c r="E246" s="76">
        <v>43801</v>
      </c>
      <c r="F246" s="111" t="s">
        <v>1131</v>
      </c>
      <c r="G246" s="126">
        <v>927040</v>
      </c>
      <c r="H246" s="129">
        <v>100</v>
      </c>
      <c r="I246" s="15">
        <v>43675</v>
      </c>
      <c r="J246" s="15"/>
      <c r="K246" s="26">
        <v>47514</v>
      </c>
      <c r="L246" s="11">
        <v>280000</v>
      </c>
      <c r="M246" s="14">
        <f>-280000+280000</f>
        <v>0</v>
      </c>
      <c r="N246" s="13" t="s">
        <v>44</v>
      </c>
      <c r="P246" s="191"/>
      <c r="Q246" s="193"/>
      <c r="R246" s="193"/>
    </row>
    <row r="247" spans="1:18" s="6" customFormat="1" ht="12.75" customHeight="1">
      <c r="A247" t="s">
        <v>664</v>
      </c>
      <c r="B247" s="114">
        <v>12277</v>
      </c>
      <c r="C247" s="36" t="s">
        <v>156</v>
      </c>
      <c r="D247" s="114">
        <v>215071</v>
      </c>
      <c r="E247" s="76">
        <v>43866</v>
      </c>
      <c r="F247" s="111" t="s">
        <v>1183</v>
      </c>
      <c r="G247" s="126">
        <v>906357</v>
      </c>
      <c r="H247" s="129">
        <v>7</v>
      </c>
      <c r="I247" s="15">
        <v>43866</v>
      </c>
      <c r="J247" s="15"/>
      <c r="K247" s="26"/>
      <c r="L247" s="11">
        <v>183168</v>
      </c>
      <c r="M247" s="14">
        <v>-183168</v>
      </c>
      <c r="N247" s="13" t="s">
        <v>1184</v>
      </c>
      <c r="P247" s="191"/>
      <c r="Q247" s="193"/>
      <c r="R247" s="193"/>
    </row>
    <row r="248" spans="1:18" s="6" customFormat="1" ht="12.6" customHeight="1">
      <c r="A248" t="s">
        <v>664</v>
      </c>
      <c r="B248" s="114">
        <v>12277</v>
      </c>
      <c r="C248" s="36" t="s">
        <v>156</v>
      </c>
      <c r="D248" s="114">
        <v>215406</v>
      </c>
      <c r="E248" s="76">
        <v>43872</v>
      </c>
      <c r="F248" s="111" t="s">
        <v>1185</v>
      </c>
      <c r="G248" s="126">
        <v>301201</v>
      </c>
      <c r="H248" s="129">
        <v>181</v>
      </c>
      <c r="I248" s="15">
        <v>43810</v>
      </c>
      <c r="J248" s="15"/>
      <c r="K248" s="26">
        <v>47483</v>
      </c>
      <c r="L248" s="11">
        <v>300400</v>
      </c>
      <c r="M248" s="14">
        <f>-300400+300400</f>
        <v>0</v>
      </c>
      <c r="N248" s="13" t="s">
        <v>44</v>
      </c>
      <c r="P248" s="191"/>
      <c r="Q248" s="193"/>
      <c r="R248" s="193"/>
    </row>
    <row r="249" spans="1:18" s="6" customFormat="1" ht="12.6" customHeight="1">
      <c r="A249" t="s">
        <v>664</v>
      </c>
      <c r="B249" s="114">
        <v>12277</v>
      </c>
      <c r="C249" s="36" t="s">
        <v>156</v>
      </c>
      <c r="D249" s="114">
        <v>220247</v>
      </c>
      <c r="E249" s="76">
        <v>44196</v>
      </c>
      <c r="F249" s="111" t="s">
        <v>1313</v>
      </c>
      <c r="G249" s="126">
        <v>928873</v>
      </c>
      <c r="H249" s="129" t="s">
        <v>1314</v>
      </c>
      <c r="I249" s="15">
        <v>44348</v>
      </c>
      <c r="J249" s="15"/>
      <c r="K249" s="26">
        <v>44712</v>
      </c>
      <c r="L249" s="11">
        <v>225000</v>
      </c>
      <c r="M249" s="14">
        <f>-225000+125000</f>
        <v>-100000</v>
      </c>
      <c r="N249" s="13" t="s">
        <v>2837</v>
      </c>
      <c r="P249" s="191"/>
      <c r="Q249" s="193"/>
      <c r="R249" s="193"/>
    </row>
    <row r="250" spans="1:18" s="6" customFormat="1" ht="12.6" customHeight="1">
      <c r="A250" t="s">
        <v>664</v>
      </c>
      <c r="B250" s="114">
        <v>12277</v>
      </c>
      <c r="C250" s="36" t="s">
        <v>156</v>
      </c>
      <c r="D250" s="114">
        <v>220738</v>
      </c>
      <c r="E250" s="76">
        <v>44286</v>
      </c>
      <c r="F250" s="111" t="s">
        <v>1542</v>
      </c>
      <c r="G250" s="126">
        <v>932100</v>
      </c>
      <c r="H250" s="129"/>
      <c r="I250" s="15"/>
      <c r="J250" s="15"/>
      <c r="K250" s="26"/>
      <c r="L250" s="11">
        <v>3800</v>
      </c>
      <c r="M250" s="14">
        <f>-3800+3800</f>
        <v>0</v>
      </c>
      <c r="N250" s="13"/>
      <c r="P250" s="191"/>
      <c r="Q250" s="193"/>
      <c r="R250" s="193"/>
    </row>
    <row r="251" spans="1:18" s="6" customFormat="1" ht="12.75" customHeight="1">
      <c r="A251" t="s">
        <v>664</v>
      </c>
      <c r="B251" s="114">
        <v>12277</v>
      </c>
      <c r="C251" s="36" t="s">
        <v>156</v>
      </c>
      <c r="D251" s="114">
        <v>221126</v>
      </c>
      <c r="E251" s="76">
        <v>44316</v>
      </c>
      <c r="F251" s="111" t="s">
        <v>31</v>
      </c>
      <c r="G251" s="126">
        <v>929323</v>
      </c>
      <c r="H251" s="129"/>
      <c r="I251" s="15"/>
      <c r="J251" s="15"/>
      <c r="K251" s="26"/>
      <c r="L251" s="11">
        <v>113795</v>
      </c>
      <c r="M251" s="14">
        <f>-113795+113795</f>
        <v>0</v>
      </c>
      <c r="N251" s="13"/>
      <c r="P251" s="191"/>
      <c r="Q251" s="191"/>
      <c r="R251" s="191"/>
    </row>
    <row r="252" spans="1:18" s="6" customFormat="1" ht="13.5" customHeight="1">
      <c r="A252" t="s">
        <v>664</v>
      </c>
      <c r="B252" s="114">
        <v>12277</v>
      </c>
      <c r="C252" s="36" t="s">
        <v>156</v>
      </c>
      <c r="D252" s="114">
        <v>221172</v>
      </c>
      <c r="E252" s="76">
        <v>44316</v>
      </c>
      <c r="F252" s="111" t="s">
        <v>1254</v>
      </c>
      <c r="G252" s="126">
        <v>17830</v>
      </c>
      <c r="H252" s="129"/>
      <c r="I252" s="15"/>
      <c r="J252" s="15"/>
      <c r="K252" s="26"/>
      <c r="L252" s="11">
        <v>340513.42</v>
      </c>
      <c r="M252" s="14">
        <f>-340513.42+340513.42</f>
        <v>0</v>
      </c>
      <c r="N252" s="13"/>
      <c r="P252" s="191"/>
      <c r="Q252" s="191"/>
      <c r="R252" s="191"/>
    </row>
    <row r="253" spans="1:18" s="6" customFormat="1" ht="12.75" customHeight="1">
      <c r="A253" t="s">
        <v>664</v>
      </c>
      <c r="B253" s="114">
        <v>12277</v>
      </c>
      <c r="C253" s="36" t="s">
        <v>156</v>
      </c>
      <c r="D253" s="114">
        <v>221173</v>
      </c>
      <c r="E253" s="76">
        <v>44316</v>
      </c>
      <c r="F253" s="111" t="s">
        <v>716</v>
      </c>
      <c r="G253" s="126">
        <v>931073</v>
      </c>
      <c r="H253" s="129">
        <v>8</v>
      </c>
      <c r="I253" s="15">
        <v>44365</v>
      </c>
      <c r="J253" s="15"/>
      <c r="K253" s="26">
        <v>45094</v>
      </c>
      <c r="L253" s="11">
        <v>200000</v>
      </c>
      <c r="M253" s="14">
        <f>-200000+100000</f>
        <v>-100000</v>
      </c>
      <c r="N253" s="13" t="s">
        <v>2838</v>
      </c>
      <c r="P253" s="191"/>
      <c r="Q253" s="191"/>
      <c r="R253" s="191"/>
    </row>
    <row r="254" spans="1:18" s="6" customFormat="1" ht="12.75" customHeight="1">
      <c r="A254" t="s">
        <v>664</v>
      </c>
      <c r="B254" s="114">
        <v>12279</v>
      </c>
      <c r="C254" s="36" t="s">
        <v>158</v>
      </c>
      <c r="D254" s="114">
        <v>216335</v>
      </c>
      <c r="E254" s="76">
        <v>43930</v>
      </c>
      <c r="F254" s="111" t="s">
        <v>1208</v>
      </c>
      <c r="G254" s="126">
        <v>929988</v>
      </c>
      <c r="H254" s="129">
        <v>202</v>
      </c>
      <c r="I254" s="15">
        <v>43876</v>
      </c>
      <c r="J254" s="15"/>
      <c r="K254" s="26">
        <v>44242</v>
      </c>
      <c r="L254" s="11">
        <v>525000</v>
      </c>
      <c r="M254" s="14">
        <f>-525000+515000</f>
        <v>-10000</v>
      </c>
      <c r="N254" s="13" t="s">
        <v>986</v>
      </c>
      <c r="P254" s="191"/>
      <c r="Q254" s="191"/>
      <c r="R254" s="191"/>
    </row>
    <row r="255" spans="1:18" s="6" customFormat="1" ht="12.75" customHeight="1">
      <c r="A255" t="s">
        <v>664</v>
      </c>
      <c r="B255" s="114">
        <v>12279</v>
      </c>
      <c r="C255" s="36" t="s">
        <v>158</v>
      </c>
      <c r="D255" s="114">
        <v>221411</v>
      </c>
      <c r="E255" s="76">
        <v>44316</v>
      </c>
      <c r="F255" s="111" t="s">
        <v>1728</v>
      </c>
      <c r="G255" s="126">
        <v>923997</v>
      </c>
      <c r="H255" s="129">
        <v>126</v>
      </c>
      <c r="I255" s="15">
        <v>43922</v>
      </c>
      <c r="J255" s="15"/>
      <c r="K255" s="26">
        <v>44773</v>
      </c>
      <c r="L255" s="11">
        <v>60000</v>
      </c>
      <c r="M255" s="14">
        <v>-60000</v>
      </c>
      <c r="N255" s="13" t="s">
        <v>950</v>
      </c>
      <c r="P255" s="191"/>
      <c r="Q255" s="191"/>
      <c r="R255" s="191"/>
    </row>
    <row r="256" spans="1:18" s="6" customFormat="1" ht="12.75" customHeight="1">
      <c r="A256" t="s">
        <v>664</v>
      </c>
      <c r="B256" s="114">
        <v>12279</v>
      </c>
      <c r="C256" s="36" t="s">
        <v>158</v>
      </c>
      <c r="D256" s="114">
        <v>221780</v>
      </c>
      <c r="E256" s="100">
        <v>44377</v>
      </c>
      <c r="F256" s="111" t="s">
        <v>1879</v>
      </c>
      <c r="G256" s="126">
        <v>934349</v>
      </c>
      <c r="H256" s="129">
        <v>204</v>
      </c>
      <c r="I256" s="15">
        <v>44320</v>
      </c>
      <c r="J256" s="15"/>
      <c r="K256" s="26">
        <v>45049</v>
      </c>
      <c r="L256" s="11">
        <v>429840</v>
      </c>
      <c r="M256" s="14">
        <v>-429840</v>
      </c>
      <c r="N256" s="13" t="s">
        <v>1885</v>
      </c>
      <c r="P256" s="191"/>
      <c r="Q256" s="191"/>
      <c r="R256" s="191"/>
    </row>
    <row r="257" spans="1:18" s="6" customFormat="1" ht="12.75" customHeight="1">
      <c r="A257" t="s">
        <v>664</v>
      </c>
      <c r="B257" s="114">
        <v>12277</v>
      </c>
      <c r="C257" s="36" t="s">
        <v>156</v>
      </c>
      <c r="D257" s="152">
        <v>223128</v>
      </c>
      <c r="E257" s="269">
        <v>44592</v>
      </c>
      <c r="F257" s="212" t="s">
        <v>2992</v>
      </c>
      <c r="G257" s="126">
        <v>937074</v>
      </c>
      <c r="H257" s="129">
        <v>14</v>
      </c>
      <c r="I257" s="15"/>
      <c r="J257" s="15"/>
      <c r="K257" s="26"/>
      <c r="L257" s="11"/>
      <c r="M257" s="14">
        <v>-80000</v>
      </c>
      <c r="N257" s="13"/>
      <c r="P257" s="191"/>
      <c r="Q257" s="191"/>
      <c r="R257" s="191"/>
    </row>
    <row r="258" spans="1:18" ht="12.75" customHeight="1">
      <c r="A258" t="s">
        <v>664</v>
      </c>
      <c r="B258" s="114">
        <v>12280</v>
      </c>
      <c r="C258" s="36" t="s">
        <v>159</v>
      </c>
      <c r="D258" s="114">
        <v>127154</v>
      </c>
      <c r="E258" s="76">
        <v>41759</v>
      </c>
      <c r="F258" t="s">
        <v>665</v>
      </c>
      <c r="G258" s="126">
        <v>72800</v>
      </c>
      <c r="H258" s="129" t="s">
        <v>705</v>
      </c>
      <c r="I258" s="66">
        <v>41596</v>
      </c>
      <c r="J258" s="66"/>
      <c r="K258" s="26">
        <v>47149</v>
      </c>
      <c r="L258" s="11">
        <v>8938</v>
      </c>
      <c r="M258" s="14">
        <v>-8938</v>
      </c>
      <c r="N258" s="25" t="s">
        <v>44</v>
      </c>
    </row>
    <row r="259" spans="1:18" s="6" customFormat="1" ht="12.75" customHeight="1">
      <c r="A259" t="s">
        <v>664</v>
      </c>
      <c r="B259" s="116">
        <v>12280</v>
      </c>
      <c r="C259" s="58" t="s">
        <v>159</v>
      </c>
      <c r="D259" s="114">
        <v>190507</v>
      </c>
      <c r="E259" s="87">
        <v>43159</v>
      </c>
      <c r="F259" s="6" t="s">
        <v>993</v>
      </c>
      <c r="G259" s="126">
        <v>922580</v>
      </c>
      <c r="H259" s="129" t="s">
        <v>994</v>
      </c>
      <c r="I259" s="15">
        <v>43134</v>
      </c>
      <c r="J259" s="15"/>
      <c r="K259" s="15">
        <v>43498</v>
      </c>
      <c r="L259" s="11">
        <v>45585</v>
      </c>
      <c r="M259" s="14">
        <v>-45585</v>
      </c>
      <c r="N259" s="112" t="s">
        <v>986</v>
      </c>
      <c r="P259" s="191"/>
      <c r="Q259" s="191"/>
      <c r="R259" s="191"/>
    </row>
    <row r="260" spans="1:18" s="6" customFormat="1" ht="12.75" customHeight="1">
      <c r="A260" t="s">
        <v>664</v>
      </c>
      <c r="B260" s="116">
        <v>12280</v>
      </c>
      <c r="C260" s="58" t="s">
        <v>159</v>
      </c>
      <c r="D260" s="114">
        <v>196863</v>
      </c>
      <c r="E260" s="87">
        <v>43461</v>
      </c>
      <c r="F260" s="6" t="s">
        <v>1057</v>
      </c>
      <c r="G260" s="126">
        <v>926489</v>
      </c>
      <c r="H260" s="129" t="s">
        <v>852</v>
      </c>
      <c r="I260" s="49">
        <v>43709</v>
      </c>
      <c r="J260" s="49"/>
      <c r="K260" s="15"/>
      <c r="L260" s="11">
        <v>48525</v>
      </c>
      <c r="M260" s="14">
        <v>-48525</v>
      </c>
      <c r="N260" s="112" t="s">
        <v>968</v>
      </c>
      <c r="P260" s="191"/>
      <c r="Q260" s="191"/>
      <c r="R260" s="191"/>
    </row>
    <row r="261" spans="1:18" s="6" customFormat="1" ht="12.75" customHeight="1">
      <c r="A261" t="s">
        <v>664</v>
      </c>
      <c r="B261" s="116">
        <v>12280</v>
      </c>
      <c r="C261" s="58" t="s">
        <v>159</v>
      </c>
      <c r="D261" s="114">
        <v>211710</v>
      </c>
      <c r="E261" s="87">
        <v>43661</v>
      </c>
      <c r="F261" s="6" t="s">
        <v>1094</v>
      </c>
      <c r="G261" s="126">
        <v>927895</v>
      </c>
      <c r="H261" s="129" t="s">
        <v>700</v>
      </c>
      <c r="I261" s="15">
        <v>43622</v>
      </c>
      <c r="J261" s="15"/>
      <c r="K261" s="15">
        <v>43989</v>
      </c>
      <c r="L261" s="11">
        <v>74995.33</v>
      </c>
      <c r="M261" s="14">
        <v>-74995.33</v>
      </c>
      <c r="N261" s="112" t="s">
        <v>986</v>
      </c>
      <c r="P261" s="191"/>
      <c r="Q261" s="191"/>
      <c r="R261" s="191"/>
    </row>
    <row r="262" spans="1:18" s="6" customFormat="1" ht="12.75" customHeight="1">
      <c r="A262" t="s">
        <v>664</v>
      </c>
      <c r="B262" s="116">
        <v>12280</v>
      </c>
      <c r="C262" s="58" t="s">
        <v>159</v>
      </c>
      <c r="D262" s="114">
        <v>212285</v>
      </c>
      <c r="E262" s="87">
        <v>43693</v>
      </c>
      <c r="F262" s="6" t="s">
        <v>39</v>
      </c>
      <c r="G262" s="126">
        <v>58152</v>
      </c>
      <c r="H262" s="129">
        <v>9002</v>
      </c>
      <c r="I262" s="49">
        <v>43831</v>
      </c>
      <c r="J262" s="49"/>
      <c r="K262" s="15"/>
      <c r="L262" s="11">
        <v>4000</v>
      </c>
      <c r="M262" s="14">
        <v>-2000</v>
      </c>
      <c r="N262" s="112" t="s">
        <v>968</v>
      </c>
      <c r="P262" s="191"/>
      <c r="Q262" s="191"/>
      <c r="R262" s="191"/>
    </row>
    <row r="263" spans="1:18" s="6" customFormat="1" ht="12.75" customHeight="1">
      <c r="A263" t="s">
        <v>664</v>
      </c>
      <c r="B263" s="116">
        <v>12280</v>
      </c>
      <c r="C263" s="58" t="s">
        <v>159</v>
      </c>
      <c r="D263" s="114">
        <v>214673</v>
      </c>
      <c r="E263" s="87">
        <v>43801</v>
      </c>
      <c r="F263" s="6" t="s">
        <v>808</v>
      </c>
      <c r="G263" s="126">
        <v>928993</v>
      </c>
      <c r="H263" s="129" t="s">
        <v>702</v>
      </c>
      <c r="I263" s="15">
        <v>43776</v>
      </c>
      <c r="J263" s="15"/>
      <c r="K263" s="15">
        <v>47514</v>
      </c>
      <c r="L263" s="11">
        <v>316400</v>
      </c>
      <c r="M263" s="14">
        <v>-316400</v>
      </c>
      <c r="N263" s="13" t="s">
        <v>970</v>
      </c>
      <c r="P263" s="191"/>
      <c r="Q263" s="191"/>
      <c r="R263" s="191"/>
    </row>
    <row r="264" spans="1:18" s="6" customFormat="1" ht="12.75" customHeight="1">
      <c r="A264" t="s">
        <v>664</v>
      </c>
      <c r="B264" s="116">
        <v>12280</v>
      </c>
      <c r="C264" s="58" t="s">
        <v>159</v>
      </c>
      <c r="D264" s="114">
        <v>214682</v>
      </c>
      <c r="E264" s="87">
        <v>43802</v>
      </c>
      <c r="F264" s="6" t="s">
        <v>1128</v>
      </c>
      <c r="G264" s="126">
        <v>927647</v>
      </c>
      <c r="H264" s="129" t="s">
        <v>851</v>
      </c>
      <c r="I264" s="15">
        <v>43709</v>
      </c>
      <c r="J264" s="15"/>
      <c r="K264" s="15">
        <v>44075</v>
      </c>
      <c r="L264" s="11">
        <v>35000</v>
      </c>
      <c r="M264" s="14">
        <v>-35000</v>
      </c>
      <c r="N264" s="13" t="s">
        <v>986</v>
      </c>
      <c r="P264" s="191"/>
      <c r="Q264" s="191"/>
      <c r="R264" s="191"/>
    </row>
    <row r="265" spans="1:18" s="6" customFormat="1" ht="12.75" customHeight="1">
      <c r="A265" t="s">
        <v>664</v>
      </c>
      <c r="B265" s="116">
        <v>12280</v>
      </c>
      <c r="C265" s="58" t="s">
        <v>159</v>
      </c>
      <c r="D265" s="114">
        <v>215075</v>
      </c>
      <c r="E265" s="87">
        <v>43871</v>
      </c>
      <c r="F265" s="6" t="s">
        <v>631</v>
      </c>
      <c r="G265" s="126">
        <v>95023</v>
      </c>
      <c r="H265" s="129" t="s">
        <v>731</v>
      </c>
      <c r="I265" s="15">
        <v>43795</v>
      </c>
      <c r="J265" s="15"/>
      <c r="K265" s="15">
        <v>44161</v>
      </c>
      <c r="L265" s="11">
        <v>50000</v>
      </c>
      <c r="M265" s="14">
        <v>-50000</v>
      </c>
      <c r="N265" s="13" t="s">
        <v>986</v>
      </c>
      <c r="P265" s="191"/>
      <c r="Q265" s="191"/>
      <c r="R265" s="191"/>
    </row>
    <row r="266" spans="1:18" s="6" customFormat="1" ht="12.75" customHeight="1">
      <c r="A266" t="s">
        <v>664</v>
      </c>
      <c r="B266" s="116">
        <v>12280</v>
      </c>
      <c r="C266" s="58" t="s">
        <v>159</v>
      </c>
      <c r="D266" s="114">
        <v>215370</v>
      </c>
      <c r="E266" s="87">
        <v>43871</v>
      </c>
      <c r="F266" s="6" t="s">
        <v>792</v>
      </c>
      <c r="G266" s="126">
        <v>929672</v>
      </c>
      <c r="H266" s="129" t="s">
        <v>890</v>
      </c>
      <c r="I266" s="15">
        <v>43834</v>
      </c>
      <c r="J266" s="15"/>
      <c r="K266" s="15">
        <v>47634</v>
      </c>
      <c r="L266" s="11">
        <v>10000</v>
      </c>
      <c r="M266" s="14">
        <v>-10000</v>
      </c>
      <c r="N266" s="13" t="s">
        <v>970</v>
      </c>
      <c r="P266" s="191"/>
      <c r="Q266" s="191"/>
      <c r="R266" s="191"/>
    </row>
    <row r="267" spans="1:18" s="6" customFormat="1" ht="12.75" customHeight="1">
      <c r="A267" t="s">
        <v>664</v>
      </c>
      <c r="B267" s="116">
        <v>12280</v>
      </c>
      <c r="C267" s="58" t="s">
        <v>159</v>
      </c>
      <c r="D267" s="114">
        <v>216268</v>
      </c>
      <c r="E267" s="87">
        <v>43924</v>
      </c>
      <c r="F267" s="6" t="s">
        <v>1229</v>
      </c>
      <c r="G267" s="126">
        <v>930422</v>
      </c>
      <c r="H267" s="129" t="s">
        <v>857</v>
      </c>
      <c r="I267" s="15">
        <v>43901</v>
      </c>
      <c r="J267" s="15"/>
      <c r="K267" s="15">
        <v>44266</v>
      </c>
      <c r="L267" s="11">
        <v>62300</v>
      </c>
      <c r="M267" s="14">
        <v>-62300</v>
      </c>
      <c r="N267" s="13" t="s">
        <v>986</v>
      </c>
      <c r="P267" s="191"/>
      <c r="Q267" s="191"/>
      <c r="R267" s="191"/>
    </row>
    <row r="268" spans="1:18" s="6" customFormat="1" ht="12.75" customHeight="1">
      <c r="A268" t="s">
        <v>664</v>
      </c>
      <c r="B268" s="116">
        <v>12280</v>
      </c>
      <c r="C268" s="58" t="s">
        <v>159</v>
      </c>
      <c r="D268" s="114">
        <v>219748</v>
      </c>
      <c r="E268" s="87">
        <v>44075</v>
      </c>
      <c r="F268" s="6" t="s">
        <v>31</v>
      </c>
      <c r="G268" s="126">
        <v>930400</v>
      </c>
      <c r="H268" s="129" t="s">
        <v>884</v>
      </c>
      <c r="I268" s="15">
        <v>44008</v>
      </c>
      <c r="J268" s="15"/>
      <c r="K268" s="15">
        <v>47514</v>
      </c>
      <c r="L268" s="11">
        <v>130500</v>
      </c>
      <c r="M268" s="14">
        <f>-130500-54095</f>
        <v>-184595</v>
      </c>
      <c r="N268" s="13" t="s">
        <v>950</v>
      </c>
      <c r="P268" s="191"/>
      <c r="Q268" s="191"/>
      <c r="R268" s="191"/>
    </row>
    <row r="269" spans="1:18" s="6" customFormat="1" ht="12.75" customHeight="1">
      <c r="A269" t="s">
        <v>664</v>
      </c>
      <c r="B269" s="116">
        <v>12280</v>
      </c>
      <c r="C269" s="58" t="s">
        <v>159</v>
      </c>
      <c r="D269" s="114">
        <v>220143</v>
      </c>
      <c r="E269" s="87">
        <v>44173</v>
      </c>
      <c r="F269" s="6" t="s">
        <v>1302</v>
      </c>
      <c r="G269" s="126">
        <v>927829</v>
      </c>
      <c r="H269" s="129" t="s">
        <v>34</v>
      </c>
      <c r="I269" s="15">
        <v>43952</v>
      </c>
      <c r="J269" s="15"/>
      <c r="K269" s="15">
        <v>44317</v>
      </c>
      <c r="L269" s="11">
        <v>20000</v>
      </c>
      <c r="M269" s="14">
        <f>-20000+20000-15000</f>
        <v>-15000</v>
      </c>
      <c r="N269" s="13" t="s">
        <v>1359</v>
      </c>
      <c r="O269" s="184"/>
      <c r="P269" s="191"/>
      <c r="Q269" s="191"/>
      <c r="R269" s="191"/>
    </row>
    <row r="270" spans="1:18" s="6" customFormat="1" ht="12.75" customHeight="1">
      <c r="A270" t="s">
        <v>664</v>
      </c>
      <c r="B270" s="116">
        <v>12280</v>
      </c>
      <c r="C270" s="58" t="s">
        <v>159</v>
      </c>
      <c r="D270" s="114">
        <v>221175</v>
      </c>
      <c r="E270" s="87">
        <v>44301</v>
      </c>
      <c r="F270" s="6" t="s">
        <v>1729</v>
      </c>
      <c r="G270" s="126">
        <v>934236</v>
      </c>
      <c r="H270" s="129"/>
      <c r="I270" s="15"/>
      <c r="J270" s="15"/>
      <c r="K270" s="15"/>
      <c r="L270" s="11">
        <v>25000</v>
      </c>
      <c r="M270" s="14">
        <f>-25000+25000</f>
        <v>0</v>
      </c>
      <c r="N270" s="13"/>
      <c r="O270" s="184"/>
      <c r="P270" s="191"/>
      <c r="Q270" s="191"/>
      <c r="R270" s="191"/>
    </row>
    <row r="271" spans="1:18" s="6" customFormat="1" ht="12.75" customHeight="1">
      <c r="A271" t="s">
        <v>664</v>
      </c>
      <c r="B271" s="116">
        <v>12280</v>
      </c>
      <c r="C271" s="58" t="s">
        <v>159</v>
      </c>
      <c r="D271" s="114">
        <v>221176</v>
      </c>
      <c r="E271" s="87">
        <v>44301</v>
      </c>
      <c r="F271" s="6" t="s">
        <v>670</v>
      </c>
      <c r="G271" s="126">
        <v>934133</v>
      </c>
      <c r="H271" s="129"/>
      <c r="I271" s="15"/>
      <c r="J271" s="15"/>
      <c r="K271" s="15"/>
      <c r="L271" s="11">
        <v>36000</v>
      </c>
      <c r="M271" s="14">
        <f>-36000+36000</f>
        <v>0</v>
      </c>
      <c r="N271" s="13"/>
      <c r="O271" s="184"/>
      <c r="P271" s="191"/>
      <c r="Q271" s="191"/>
      <c r="R271" s="191"/>
    </row>
    <row r="272" spans="1:18" s="6" customFormat="1" ht="12.75" customHeight="1">
      <c r="A272" t="s">
        <v>664</v>
      </c>
      <c r="B272" s="116">
        <v>12280</v>
      </c>
      <c r="C272" s="58" t="s">
        <v>159</v>
      </c>
      <c r="D272" s="114">
        <v>221618</v>
      </c>
      <c r="E272" s="87">
        <v>44317</v>
      </c>
      <c r="F272" s="6" t="s">
        <v>710</v>
      </c>
      <c r="G272" s="126">
        <v>932498</v>
      </c>
      <c r="H272" s="129"/>
      <c r="I272" s="15"/>
      <c r="J272" s="15"/>
      <c r="K272" s="15"/>
      <c r="L272" s="11">
        <v>521314</v>
      </c>
      <c r="M272" s="14">
        <f>-508750+469182.6-12564+52131.4</f>
        <v>0</v>
      </c>
      <c r="N272" s="13"/>
      <c r="O272" s="184"/>
      <c r="P272" s="191"/>
      <c r="Q272" s="191"/>
      <c r="R272" s="191"/>
    </row>
    <row r="273" spans="1:18" s="6" customFormat="1" ht="12.75" customHeight="1">
      <c r="A273" t="s">
        <v>664</v>
      </c>
      <c r="B273" s="116">
        <v>12280</v>
      </c>
      <c r="C273" s="58" t="s">
        <v>159</v>
      </c>
      <c r="D273" s="114">
        <v>222471</v>
      </c>
      <c r="E273" s="87">
        <v>44470</v>
      </c>
      <c r="F273" s="6" t="s">
        <v>1244</v>
      </c>
      <c r="G273" s="126">
        <v>936139</v>
      </c>
      <c r="H273" s="129">
        <v>2005</v>
      </c>
      <c r="I273" s="15">
        <v>44730</v>
      </c>
      <c r="J273" s="15"/>
      <c r="K273" s="15">
        <v>45094</v>
      </c>
      <c r="L273" s="11">
        <v>412500</v>
      </c>
      <c r="M273" s="93">
        <v>-412500</v>
      </c>
      <c r="N273" s="13" t="s">
        <v>986</v>
      </c>
      <c r="O273" s="184"/>
      <c r="P273" s="191"/>
      <c r="Q273" s="191"/>
      <c r="R273" s="191"/>
    </row>
    <row r="274" spans="1:18" s="6" customFormat="1" ht="12.75" customHeight="1">
      <c r="A274" t="s">
        <v>664</v>
      </c>
      <c r="B274" s="116">
        <v>12280</v>
      </c>
      <c r="C274" s="58" t="s">
        <v>159</v>
      </c>
      <c r="D274" s="114">
        <v>222646</v>
      </c>
      <c r="E274" s="87">
        <v>44470</v>
      </c>
      <c r="F274" s="199" t="s">
        <v>2469</v>
      </c>
      <c r="G274" s="126">
        <v>930730</v>
      </c>
      <c r="H274" s="129" t="s">
        <v>875</v>
      </c>
      <c r="I274" s="15">
        <v>44316</v>
      </c>
      <c r="J274" s="15"/>
      <c r="K274" s="15">
        <v>44680</v>
      </c>
      <c r="L274" s="11">
        <v>150000</v>
      </c>
      <c r="M274" s="93">
        <v>-150000</v>
      </c>
      <c r="N274" s="13" t="s">
        <v>986</v>
      </c>
      <c r="O274" s="184"/>
      <c r="P274" s="191"/>
      <c r="Q274" s="191"/>
      <c r="R274" s="191"/>
    </row>
    <row r="275" spans="1:18" s="6" customFormat="1" ht="12.75" customHeight="1">
      <c r="A275" t="s">
        <v>664</v>
      </c>
      <c r="B275" s="116">
        <v>12280</v>
      </c>
      <c r="C275" s="58" t="s">
        <v>159</v>
      </c>
      <c r="D275" s="114">
        <v>222740</v>
      </c>
      <c r="E275" s="87">
        <v>44489</v>
      </c>
      <c r="F275" s="199" t="s">
        <v>2470</v>
      </c>
      <c r="G275" s="126">
        <v>936690</v>
      </c>
      <c r="H275" s="129" t="s">
        <v>842</v>
      </c>
      <c r="I275" s="15">
        <v>44651</v>
      </c>
      <c r="J275" s="15"/>
      <c r="K275" s="15">
        <v>45015</v>
      </c>
      <c r="L275" s="11">
        <v>325000</v>
      </c>
      <c r="M275" s="93">
        <v>-325000</v>
      </c>
      <c r="N275" s="13" t="s">
        <v>986</v>
      </c>
      <c r="O275" s="184"/>
      <c r="P275" s="191"/>
      <c r="Q275" s="191"/>
      <c r="R275" s="191"/>
    </row>
    <row r="276" spans="1:18" s="6" customFormat="1" ht="12.75" customHeight="1">
      <c r="A276" t="s">
        <v>664</v>
      </c>
      <c r="B276" s="116">
        <v>12280</v>
      </c>
      <c r="C276" s="58" t="s">
        <v>159</v>
      </c>
      <c r="D276" s="152">
        <v>223095</v>
      </c>
      <c r="E276" s="87">
        <v>44562</v>
      </c>
      <c r="F276" s="199" t="s">
        <v>3003</v>
      </c>
      <c r="G276" s="126">
        <v>937238</v>
      </c>
      <c r="H276" s="129">
        <v>2220</v>
      </c>
      <c r="I276" s="15"/>
      <c r="J276" s="15"/>
      <c r="K276" s="15"/>
      <c r="L276" s="11"/>
      <c r="M276" s="99">
        <v>-511992</v>
      </c>
      <c r="N276" s="13"/>
      <c r="O276" s="184"/>
      <c r="P276" s="191"/>
      <c r="Q276" s="191"/>
      <c r="R276" s="191"/>
    </row>
    <row r="277" spans="1:18" s="6" customFormat="1" ht="12.75" customHeight="1">
      <c r="A277" t="s">
        <v>664</v>
      </c>
      <c r="B277" s="116">
        <v>12280</v>
      </c>
      <c r="C277" s="58" t="s">
        <v>159</v>
      </c>
      <c r="D277" s="152">
        <v>223096</v>
      </c>
      <c r="E277" s="87">
        <v>44562</v>
      </c>
      <c r="F277" s="199" t="s">
        <v>839</v>
      </c>
      <c r="G277" s="126">
        <v>937019</v>
      </c>
      <c r="H277" s="129" t="s">
        <v>3001</v>
      </c>
      <c r="I277" s="15"/>
      <c r="J277" s="15"/>
      <c r="K277" s="15"/>
      <c r="L277" s="11"/>
      <c r="M277" s="99">
        <v>-244700</v>
      </c>
      <c r="N277" s="13"/>
      <c r="O277" s="184"/>
      <c r="P277" s="191"/>
      <c r="Q277" s="191"/>
      <c r="R277" s="191"/>
    </row>
    <row r="278" spans="1:18" s="6" customFormat="1" ht="12.75" customHeight="1">
      <c r="A278" t="s">
        <v>664</v>
      </c>
      <c r="B278" s="116">
        <v>12280</v>
      </c>
      <c r="C278" s="58" t="s">
        <v>159</v>
      </c>
      <c r="D278" s="152">
        <v>223543</v>
      </c>
      <c r="E278" s="87">
        <v>44562</v>
      </c>
      <c r="F278" s="199" t="s">
        <v>2468</v>
      </c>
      <c r="G278" s="126">
        <v>937587</v>
      </c>
      <c r="H278" s="129" t="s">
        <v>3002</v>
      </c>
      <c r="I278" s="15"/>
      <c r="J278" s="15"/>
      <c r="K278" s="15"/>
      <c r="L278" s="11"/>
      <c r="M278" s="99">
        <v>-25000</v>
      </c>
      <c r="N278" s="13"/>
      <c r="O278" s="184"/>
      <c r="P278" s="191"/>
      <c r="Q278" s="191"/>
      <c r="R278" s="191"/>
    </row>
    <row r="279" spans="1:18" s="6" customFormat="1" ht="12.75" customHeight="1">
      <c r="A279" t="s">
        <v>664</v>
      </c>
      <c r="B279" s="116">
        <v>12294</v>
      </c>
      <c r="C279" s="58" t="s">
        <v>173</v>
      </c>
      <c r="D279" s="152">
        <v>223114</v>
      </c>
      <c r="E279" s="87">
        <v>44592</v>
      </c>
      <c r="F279" s="199" t="s">
        <v>795</v>
      </c>
      <c r="G279" s="126">
        <v>937656</v>
      </c>
      <c r="H279" s="129" t="s">
        <v>2985</v>
      </c>
      <c r="I279" s="15"/>
      <c r="J279" s="15"/>
      <c r="K279" s="15"/>
      <c r="L279" s="11"/>
      <c r="M279" s="187">
        <v>-50000</v>
      </c>
      <c r="N279" s="13"/>
      <c r="O279" s="184"/>
      <c r="P279" s="191"/>
      <c r="Q279" s="191"/>
      <c r="R279" s="191"/>
    </row>
    <row r="280" spans="1:18" ht="12.6" customHeight="1">
      <c r="A280" s="6" t="s">
        <v>1549</v>
      </c>
      <c r="B280" s="116">
        <v>12281</v>
      </c>
      <c r="C280" s="58" t="s">
        <v>160</v>
      </c>
      <c r="D280" s="114">
        <v>137873</v>
      </c>
      <c r="E280" s="87">
        <v>42004</v>
      </c>
      <c r="F280" t="s">
        <v>46</v>
      </c>
      <c r="G280" s="126">
        <v>907515</v>
      </c>
      <c r="H280" s="129">
        <v>61</v>
      </c>
      <c r="I280" s="15">
        <v>42110</v>
      </c>
      <c r="J280" s="15"/>
      <c r="K280" s="26">
        <v>46053</v>
      </c>
      <c r="L280" s="11">
        <v>100000</v>
      </c>
      <c r="M280" s="14">
        <f>-100000+100000</f>
        <v>0</v>
      </c>
      <c r="N280" s="13" t="s">
        <v>44</v>
      </c>
      <c r="R280" s="16"/>
    </row>
    <row r="281" spans="1:18">
      <c r="A281" s="5" t="s">
        <v>664</v>
      </c>
      <c r="B281" s="116">
        <v>12285</v>
      </c>
      <c r="C281" s="58" t="s">
        <v>164</v>
      </c>
      <c r="D281" s="114">
        <v>197302</v>
      </c>
      <c r="E281" s="87">
        <v>43480</v>
      </c>
      <c r="F281" s="5" t="s">
        <v>1058</v>
      </c>
      <c r="G281" s="130">
        <v>926556</v>
      </c>
      <c r="H281" s="129" t="s">
        <v>855</v>
      </c>
      <c r="I281" s="15">
        <v>43402</v>
      </c>
      <c r="J281" s="15"/>
      <c r="K281" s="26">
        <v>43767</v>
      </c>
      <c r="L281" s="14">
        <v>50000</v>
      </c>
      <c r="M281" s="14">
        <f>-50000-50000+50000</f>
        <v>-50000</v>
      </c>
      <c r="N281" s="112" t="s">
        <v>2008</v>
      </c>
      <c r="O281" s="6"/>
    </row>
    <row r="282" spans="1:18">
      <c r="A282" s="5" t="s">
        <v>664</v>
      </c>
      <c r="B282" s="116">
        <v>12285</v>
      </c>
      <c r="C282" s="58" t="s">
        <v>164</v>
      </c>
      <c r="D282" s="114">
        <v>197703</v>
      </c>
      <c r="E282" s="87">
        <v>43509</v>
      </c>
      <c r="F282" s="5" t="s">
        <v>1084</v>
      </c>
      <c r="G282" s="130">
        <v>924528</v>
      </c>
      <c r="H282" s="129" t="s">
        <v>878</v>
      </c>
      <c r="I282" s="49">
        <v>43405</v>
      </c>
      <c r="J282" s="49"/>
      <c r="K282" s="26">
        <v>43770</v>
      </c>
      <c r="L282" s="14">
        <v>600000</v>
      </c>
      <c r="M282" s="14">
        <f>-600000+200000+200000</f>
        <v>-200000</v>
      </c>
      <c r="N282" s="112" t="s">
        <v>2009</v>
      </c>
      <c r="O282" s="6"/>
    </row>
    <row r="283" spans="1:18">
      <c r="A283" s="5" t="s">
        <v>664</v>
      </c>
      <c r="B283" s="116">
        <v>12285</v>
      </c>
      <c r="C283" s="58" t="s">
        <v>164</v>
      </c>
      <c r="D283" s="114">
        <v>222806</v>
      </c>
      <c r="E283" s="87">
        <v>44501</v>
      </c>
      <c r="F283" s="5" t="s">
        <v>648</v>
      </c>
      <c r="G283" s="130">
        <v>934739</v>
      </c>
      <c r="H283" s="129" t="s">
        <v>859</v>
      </c>
      <c r="I283" s="15"/>
      <c r="J283" s="15"/>
      <c r="K283" s="26">
        <v>44378</v>
      </c>
      <c r="L283" s="151">
        <v>45107</v>
      </c>
      <c r="M283" s="96">
        <f>-439509.95+439509.95</f>
        <v>0</v>
      </c>
      <c r="N283" s="112" t="s">
        <v>989</v>
      </c>
      <c r="O283" s="6"/>
    </row>
    <row r="284" spans="1:18">
      <c r="A284" s="5" t="s">
        <v>664</v>
      </c>
      <c r="B284" s="116">
        <v>12285</v>
      </c>
      <c r="C284" s="58" t="s">
        <v>164</v>
      </c>
      <c r="D284" s="114">
        <v>211119</v>
      </c>
      <c r="E284" s="87">
        <v>43655</v>
      </c>
      <c r="F284" s="5" t="s">
        <v>1095</v>
      </c>
      <c r="G284" s="130">
        <v>927913</v>
      </c>
      <c r="H284" s="129" t="s">
        <v>848</v>
      </c>
      <c r="I284" s="15">
        <v>44237</v>
      </c>
      <c r="J284" s="15"/>
      <c r="K284" s="26">
        <f>I284+730</f>
        <v>44967</v>
      </c>
      <c r="L284" s="14">
        <v>650000</v>
      </c>
      <c r="M284" s="14">
        <f>-650000+154398.33+62273.79+433327.88</f>
        <v>0</v>
      </c>
      <c r="N284" s="112" t="s">
        <v>2004</v>
      </c>
      <c r="O284" s="6"/>
    </row>
    <row r="285" spans="1:18">
      <c r="A285" s="5" t="s">
        <v>664</v>
      </c>
      <c r="B285" s="116">
        <v>12285</v>
      </c>
      <c r="C285" s="58" t="s">
        <v>164</v>
      </c>
      <c r="D285" s="114"/>
      <c r="E285" s="87">
        <v>44580</v>
      </c>
      <c r="F285" s="5" t="s">
        <v>644</v>
      </c>
      <c r="G285" s="130">
        <v>71292</v>
      </c>
      <c r="H285" s="129" t="s">
        <v>738</v>
      </c>
      <c r="I285" s="15">
        <v>41488</v>
      </c>
      <c r="J285" s="15"/>
      <c r="K285" s="26">
        <v>45322</v>
      </c>
      <c r="L285" s="14">
        <v>50000</v>
      </c>
      <c r="M285" s="14">
        <f>50000-50000</f>
        <v>0</v>
      </c>
      <c r="N285" s="112"/>
      <c r="O285" s="6"/>
    </row>
    <row r="286" spans="1:18">
      <c r="A286" s="5" t="s">
        <v>664</v>
      </c>
      <c r="B286" s="116">
        <v>12285</v>
      </c>
      <c r="C286" s="58" t="s">
        <v>164</v>
      </c>
      <c r="D286" s="114">
        <v>223558</v>
      </c>
      <c r="E286" s="87">
        <v>44587</v>
      </c>
      <c r="F286" s="5" t="s">
        <v>2987</v>
      </c>
      <c r="G286" s="130">
        <v>71292</v>
      </c>
      <c r="H286" s="129" t="s">
        <v>738</v>
      </c>
      <c r="I286" s="15"/>
      <c r="J286" s="15"/>
      <c r="K286" s="26"/>
      <c r="L286" s="14">
        <v>50000</v>
      </c>
      <c r="M286" s="14">
        <v>25408.959999999999</v>
      </c>
      <c r="N286" s="112" t="s">
        <v>2988</v>
      </c>
      <c r="O286" s="6"/>
    </row>
    <row r="287" spans="1:18">
      <c r="A287" t="s">
        <v>664</v>
      </c>
      <c r="B287" s="114">
        <v>12286</v>
      </c>
      <c r="C287" s="36" t="s">
        <v>165</v>
      </c>
      <c r="D287" s="114">
        <v>131001</v>
      </c>
      <c r="E287" s="87">
        <v>41973</v>
      </c>
      <c r="F287" t="s">
        <v>710</v>
      </c>
      <c r="G287" s="126">
        <v>905693</v>
      </c>
      <c r="H287" s="134">
        <v>748</v>
      </c>
      <c r="I287" s="66">
        <v>41942</v>
      </c>
      <c r="J287" s="66"/>
      <c r="K287" s="26">
        <v>45688</v>
      </c>
      <c r="L287" s="11">
        <v>228375</v>
      </c>
      <c r="M287" s="14">
        <f>-228375+205537.5</f>
        <v>-22837.5</v>
      </c>
      <c r="N287" s="25" t="s">
        <v>44</v>
      </c>
    </row>
    <row r="288" spans="1:18" ht="12.6" customHeight="1">
      <c r="A288" t="s">
        <v>664</v>
      </c>
      <c r="B288" s="116">
        <v>12286</v>
      </c>
      <c r="C288" s="58" t="s">
        <v>165</v>
      </c>
      <c r="D288" s="116">
        <v>165567</v>
      </c>
      <c r="E288" s="75">
        <v>42534</v>
      </c>
      <c r="F288" s="6" t="s">
        <v>814</v>
      </c>
      <c r="G288" s="130">
        <v>52594</v>
      </c>
      <c r="H288" s="130">
        <v>9075</v>
      </c>
      <c r="I288" s="108">
        <v>42217</v>
      </c>
      <c r="J288" s="108"/>
      <c r="K288" s="26">
        <f>I288+365</f>
        <v>42582</v>
      </c>
      <c r="L288" s="11">
        <v>7500</v>
      </c>
      <c r="M288" s="14">
        <f>-7500+7500-7500+2500</f>
        <v>-5000</v>
      </c>
      <c r="N288" s="13" t="s">
        <v>1036</v>
      </c>
    </row>
    <row r="289" spans="1:18">
      <c r="A289" t="s">
        <v>664</v>
      </c>
      <c r="B289" s="116">
        <v>12286</v>
      </c>
      <c r="C289" s="58" t="s">
        <v>165</v>
      </c>
      <c r="D289" s="116">
        <v>184867</v>
      </c>
      <c r="E289" s="75">
        <v>42870</v>
      </c>
      <c r="F289" s="6" t="s">
        <v>614</v>
      </c>
      <c r="G289" s="130">
        <v>918497</v>
      </c>
      <c r="H289" s="130">
        <v>1130</v>
      </c>
      <c r="I289" s="108">
        <v>42874</v>
      </c>
      <c r="J289" s="108"/>
      <c r="K289" s="26">
        <v>43238</v>
      </c>
      <c r="L289" s="11">
        <v>100000</v>
      </c>
      <c r="M289" s="14">
        <f>-100000+50000+50000</f>
        <v>0</v>
      </c>
      <c r="N289" s="153"/>
    </row>
    <row r="290" spans="1:18">
      <c r="A290" t="s">
        <v>664</v>
      </c>
      <c r="B290" s="116">
        <v>12286</v>
      </c>
      <c r="C290" s="58" t="s">
        <v>165</v>
      </c>
      <c r="D290" s="116">
        <v>191233</v>
      </c>
      <c r="E290" s="75">
        <v>43208</v>
      </c>
      <c r="F290" s="6" t="s">
        <v>25</v>
      </c>
      <c r="G290" s="130">
        <v>35624</v>
      </c>
      <c r="H290" s="130">
        <v>1550</v>
      </c>
      <c r="I290" s="108">
        <v>43982</v>
      </c>
      <c r="J290" s="108"/>
      <c r="K290" s="26">
        <v>44957</v>
      </c>
      <c r="L290" s="11">
        <v>499500</v>
      </c>
      <c r="M290" s="14">
        <v>-499500</v>
      </c>
      <c r="N290" s="13" t="s">
        <v>1013</v>
      </c>
    </row>
    <row r="291" spans="1:18">
      <c r="A291" t="s">
        <v>664</v>
      </c>
      <c r="B291" s="116">
        <v>12286</v>
      </c>
      <c r="C291" s="58" t="s">
        <v>165</v>
      </c>
      <c r="D291" s="116">
        <v>191234</v>
      </c>
      <c r="E291" s="75">
        <v>43208</v>
      </c>
      <c r="F291" s="6" t="s">
        <v>1015</v>
      </c>
      <c r="G291" s="130">
        <v>923414</v>
      </c>
      <c r="H291" s="130">
        <v>1545</v>
      </c>
      <c r="I291" s="108">
        <v>43370</v>
      </c>
      <c r="J291" s="108"/>
      <c r="K291" s="26">
        <v>46996</v>
      </c>
      <c r="L291" s="11">
        <v>344325</v>
      </c>
      <c r="M291" s="14">
        <f>-344325+114775+114775</f>
        <v>-114775</v>
      </c>
      <c r="N291" s="13" t="s">
        <v>970</v>
      </c>
    </row>
    <row r="292" spans="1:18">
      <c r="A292" t="s">
        <v>664</v>
      </c>
      <c r="B292" s="116">
        <v>12286</v>
      </c>
      <c r="C292" s="58" t="s">
        <v>165</v>
      </c>
      <c r="D292" s="116">
        <v>194932</v>
      </c>
      <c r="E292" s="75">
        <v>43343</v>
      </c>
      <c r="F292" s="6" t="s">
        <v>37</v>
      </c>
      <c r="G292" s="130">
        <v>923996</v>
      </c>
      <c r="H292" s="130">
        <v>1025</v>
      </c>
      <c r="I292" s="108">
        <v>43282</v>
      </c>
      <c r="J292" s="108"/>
      <c r="K292" s="26">
        <v>43646</v>
      </c>
      <c r="L292" s="11">
        <v>148000</v>
      </c>
      <c r="M292" s="14">
        <v>-148000</v>
      </c>
      <c r="N292" s="13" t="s">
        <v>986</v>
      </c>
    </row>
    <row r="293" spans="1:18">
      <c r="A293" t="s">
        <v>664</v>
      </c>
      <c r="B293" s="116">
        <v>12286</v>
      </c>
      <c r="C293" s="58" t="s">
        <v>165</v>
      </c>
      <c r="D293" s="116">
        <v>198023</v>
      </c>
      <c r="E293" s="75">
        <v>43553</v>
      </c>
      <c r="F293" s="6" t="s">
        <v>1040</v>
      </c>
      <c r="G293" s="130">
        <v>927039</v>
      </c>
      <c r="H293" s="130">
        <v>724</v>
      </c>
      <c r="I293" s="108">
        <v>43647</v>
      </c>
      <c r="J293" s="108"/>
      <c r="K293" s="26">
        <v>44012</v>
      </c>
      <c r="L293" s="11">
        <v>75000</v>
      </c>
      <c r="M293" s="14">
        <v>-75000</v>
      </c>
      <c r="N293" s="13" t="s">
        <v>968</v>
      </c>
    </row>
    <row r="294" spans="1:18">
      <c r="A294" t="s">
        <v>664</v>
      </c>
      <c r="B294" s="116">
        <v>12286</v>
      </c>
      <c r="C294" s="58" t="s">
        <v>165</v>
      </c>
      <c r="D294" s="116">
        <v>213090</v>
      </c>
      <c r="E294" s="75">
        <v>43754</v>
      </c>
      <c r="F294" s="6" t="s">
        <v>18</v>
      </c>
      <c r="G294" s="130">
        <v>928933</v>
      </c>
      <c r="H294" s="130">
        <v>408</v>
      </c>
      <c r="I294" s="108">
        <v>43734</v>
      </c>
      <c r="J294" s="108"/>
      <c r="K294" s="26"/>
      <c r="L294" s="11">
        <v>175000</v>
      </c>
      <c r="M294" s="14">
        <f>-175000+157500+17500</f>
        <v>0</v>
      </c>
      <c r="N294" s="13" t="s">
        <v>970</v>
      </c>
    </row>
    <row r="295" spans="1:18">
      <c r="A295" t="s">
        <v>664</v>
      </c>
      <c r="B295" s="116">
        <v>12286</v>
      </c>
      <c r="C295" s="58" t="s">
        <v>165</v>
      </c>
      <c r="D295" s="116">
        <v>214670</v>
      </c>
      <c r="E295" s="75">
        <v>43801</v>
      </c>
      <c r="F295" s="6" t="s">
        <v>1124</v>
      </c>
      <c r="G295" s="130">
        <v>214670</v>
      </c>
      <c r="H295" s="130">
        <v>532</v>
      </c>
      <c r="I295" s="108">
        <v>43709</v>
      </c>
      <c r="J295" s="108"/>
      <c r="K295" s="26">
        <v>44256</v>
      </c>
      <c r="L295" s="11">
        <v>200000</v>
      </c>
      <c r="M295" s="14">
        <f>-200000+200000-19021.53</f>
        <v>-19021.53</v>
      </c>
      <c r="N295" s="13" t="s">
        <v>1125</v>
      </c>
    </row>
    <row r="296" spans="1:18">
      <c r="A296" t="s">
        <v>664</v>
      </c>
      <c r="B296" s="116">
        <v>12286</v>
      </c>
      <c r="C296" s="58" t="s">
        <v>165</v>
      </c>
      <c r="D296" s="116">
        <v>214675</v>
      </c>
      <c r="E296" s="75">
        <v>43801</v>
      </c>
      <c r="F296" s="6" t="s">
        <v>661</v>
      </c>
      <c r="G296" s="130">
        <v>214675</v>
      </c>
      <c r="H296" s="130">
        <v>1440</v>
      </c>
      <c r="I296" s="108">
        <v>43784</v>
      </c>
      <c r="J296" s="108"/>
      <c r="K296" s="26">
        <v>44150</v>
      </c>
      <c r="L296" s="11">
        <v>299480</v>
      </c>
      <c r="M296" s="14">
        <f>-299480+229480+70000</f>
        <v>0</v>
      </c>
      <c r="N296" s="13" t="s">
        <v>986</v>
      </c>
    </row>
    <row r="297" spans="1:18">
      <c r="A297" t="s">
        <v>664</v>
      </c>
      <c r="B297" s="116">
        <v>12286</v>
      </c>
      <c r="C297" s="58" t="s">
        <v>165</v>
      </c>
      <c r="D297" s="116">
        <v>215401</v>
      </c>
      <c r="E297" s="75">
        <v>43872</v>
      </c>
      <c r="F297" s="6" t="s">
        <v>1186</v>
      </c>
      <c r="G297" s="130">
        <v>920001</v>
      </c>
      <c r="H297" s="130">
        <v>2179</v>
      </c>
      <c r="I297" s="108">
        <v>43854</v>
      </c>
      <c r="J297" s="108"/>
      <c r="K297" s="26">
        <v>44220</v>
      </c>
      <c r="L297" s="11">
        <v>62568</v>
      </c>
      <c r="M297" s="14">
        <f>-62568+11692.55+45419.79</f>
        <v>-5455.6599999999962</v>
      </c>
      <c r="N297" s="13" t="s">
        <v>986</v>
      </c>
    </row>
    <row r="298" spans="1:18">
      <c r="A298" t="s">
        <v>664</v>
      </c>
      <c r="B298" s="116">
        <v>12286</v>
      </c>
      <c r="C298" s="58" t="s">
        <v>165</v>
      </c>
      <c r="D298" s="116">
        <v>197785</v>
      </c>
      <c r="E298" s="75">
        <v>43890</v>
      </c>
      <c r="F298" s="6" t="s">
        <v>640</v>
      </c>
      <c r="G298" s="130">
        <v>37208</v>
      </c>
      <c r="H298" s="130">
        <v>1123</v>
      </c>
      <c r="I298" s="108">
        <v>43497</v>
      </c>
      <c r="J298" s="108"/>
      <c r="K298" s="26">
        <v>47149</v>
      </c>
      <c r="L298" s="11">
        <v>100000</v>
      </c>
      <c r="M298" s="14">
        <v>-100000</v>
      </c>
      <c r="N298" s="13" t="s">
        <v>986</v>
      </c>
    </row>
    <row r="299" spans="1:18">
      <c r="A299" s="5" t="s">
        <v>664</v>
      </c>
      <c r="B299" s="116">
        <v>12286</v>
      </c>
      <c r="C299" s="58" t="s">
        <v>165</v>
      </c>
      <c r="D299" s="116">
        <v>158063</v>
      </c>
      <c r="E299" s="75">
        <v>44305</v>
      </c>
      <c r="F299" s="215" t="s">
        <v>622</v>
      </c>
      <c r="G299" s="130">
        <v>38368</v>
      </c>
      <c r="H299" s="130">
        <v>1220</v>
      </c>
      <c r="I299" s="108"/>
      <c r="J299" s="108"/>
      <c r="K299" s="26"/>
      <c r="L299" s="14">
        <v>50000</v>
      </c>
      <c r="M299" s="14">
        <f>50000-50000</f>
        <v>0</v>
      </c>
      <c r="N299" s="52"/>
    </row>
    <row r="300" spans="1:18">
      <c r="A300" s="5" t="s">
        <v>664</v>
      </c>
      <c r="B300" s="116">
        <v>12286</v>
      </c>
      <c r="C300" s="58" t="s">
        <v>165</v>
      </c>
      <c r="D300" s="116">
        <v>220345</v>
      </c>
      <c r="E300" s="75">
        <v>44312</v>
      </c>
      <c r="F300" s="215" t="s">
        <v>1230</v>
      </c>
      <c r="G300" s="130">
        <v>931474</v>
      </c>
      <c r="H300" s="130">
        <v>676</v>
      </c>
      <c r="I300" s="108"/>
      <c r="J300" s="108"/>
      <c r="K300" s="26"/>
      <c r="L300" s="14">
        <v>550000</v>
      </c>
      <c r="M300" s="14">
        <f>550000-550000</f>
        <v>0</v>
      </c>
      <c r="N300" s="52"/>
    </row>
    <row r="301" spans="1:18">
      <c r="A301" s="5" t="s">
        <v>664</v>
      </c>
      <c r="B301" s="116">
        <v>12286</v>
      </c>
      <c r="C301" s="58" t="s">
        <v>165</v>
      </c>
      <c r="D301" s="116">
        <v>221906</v>
      </c>
      <c r="E301" s="75">
        <v>44469</v>
      </c>
      <c r="F301" s="6" t="s">
        <v>2319</v>
      </c>
      <c r="G301" s="130">
        <v>928995</v>
      </c>
      <c r="H301" s="130">
        <v>588</v>
      </c>
      <c r="I301" s="108">
        <v>43862</v>
      </c>
      <c r="J301" s="108"/>
      <c r="K301" s="26">
        <v>44227</v>
      </c>
      <c r="L301" s="14">
        <v>58000</v>
      </c>
      <c r="M301" s="14">
        <f>-58000+58000-58000+58000</f>
        <v>0</v>
      </c>
      <c r="N301" s="13" t="s">
        <v>986</v>
      </c>
    </row>
    <row r="302" spans="1:18">
      <c r="A302" s="5" t="s">
        <v>664</v>
      </c>
      <c r="B302" s="116">
        <v>12286</v>
      </c>
      <c r="C302" s="58" t="s">
        <v>165</v>
      </c>
      <c r="D302" s="116">
        <v>221199</v>
      </c>
      <c r="E302" s="75">
        <v>44561</v>
      </c>
      <c r="F302" s="6" t="s">
        <v>812</v>
      </c>
      <c r="G302" s="130">
        <v>38539</v>
      </c>
      <c r="H302" s="130">
        <v>1545</v>
      </c>
      <c r="I302" s="108"/>
      <c r="J302" s="108"/>
      <c r="K302" s="26"/>
      <c r="L302" s="14">
        <v>137730</v>
      </c>
      <c r="M302" s="14">
        <f>137730-137730</f>
        <v>0</v>
      </c>
      <c r="N302" s="52"/>
    </row>
    <row r="303" spans="1:18">
      <c r="A303" s="5" t="s">
        <v>664</v>
      </c>
      <c r="B303" s="116">
        <v>12286</v>
      </c>
      <c r="C303" s="58" t="s">
        <v>165</v>
      </c>
      <c r="D303" s="116">
        <v>222992</v>
      </c>
      <c r="E303" s="75">
        <v>44561</v>
      </c>
      <c r="F303" s="6" t="s">
        <v>796</v>
      </c>
      <c r="G303" s="130">
        <v>932024</v>
      </c>
      <c r="H303" s="130">
        <v>2120</v>
      </c>
      <c r="I303" s="108">
        <v>44228</v>
      </c>
      <c r="J303" s="108"/>
      <c r="K303" s="26"/>
      <c r="L303" s="14"/>
      <c r="M303" s="14">
        <f>-517140+517140</f>
        <v>0</v>
      </c>
      <c r="N303" s="52"/>
    </row>
    <row r="304" spans="1:18" s="188" customFormat="1">
      <c r="A304" s="225" t="s">
        <v>664</v>
      </c>
      <c r="B304" s="241">
        <v>12286</v>
      </c>
      <c r="C304" s="227" t="s">
        <v>165</v>
      </c>
      <c r="D304" s="241">
        <v>222993</v>
      </c>
      <c r="E304" s="252">
        <v>44561</v>
      </c>
      <c r="F304" s="243" t="s">
        <v>2526</v>
      </c>
      <c r="G304" s="230">
        <v>934787</v>
      </c>
      <c r="H304" s="230">
        <v>580</v>
      </c>
      <c r="I304" s="253">
        <v>44348</v>
      </c>
      <c r="J304" s="253"/>
      <c r="K304" s="251"/>
      <c r="L304" s="233">
        <v>20000</v>
      </c>
      <c r="M304" s="233">
        <v>-20000</v>
      </c>
      <c r="N304" s="246" t="s">
        <v>2749</v>
      </c>
      <c r="P304" s="196"/>
      <c r="Q304" s="196"/>
      <c r="R304" s="196"/>
    </row>
    <row r="305" spans="1:18" s="188" customFormat="1">
      <c r="A305" s="225" t="s">
        <v>664</v>
      </c>
      <c r="B305" s="241">
        <v>12286</v>
      </c>
      <c r="C305" s="227" t="s">
        <v>165</v>
      </c>
      <c r="D305" s="241">
        <v>221202</v>
      </c>
      <c r="E305" s="252">
        <v>44536</v>
      </c>
      <c r="F305" s="243" t="s">
        <v>2526</v>
      </c>
      <c r="G305" s="230">
        <v>934787</v>
      </c>
      <c r="H305" s="230">
        <v>580</v>
      </c>
      <c r="I305" s="253"/>
      <c r="J305" s="253"/>
      <c r="K305" s="251"/>
      <c r="L305" s="233"/>
      <c r="M305" s="233">
        <v>20000</v>
      </c>
      <c r="N305" s="246" t="s">
        <v>2750</v>
      </c>
      <c r="P305" s="196"/>
      <c r="Q305" s="196"/>
      <c r="R305" s="196"/>
    </row>
    <row r="306" spans="1:18" s="188" customFormat="1">
      <c r="A306" s="225" t="s">
        <v>664</v>
      </c>
      <c r="B306" s="241">
        <v>12286</v>
      </c>
      <c r="C306" s="227" t="s">
        <v>165</v>
      </c>
      <c r="D306" s="241">
        <v>222534</v>
      </c>
      <c r="E306" s="252">
        <v>44487</v>
      </c>
      <c r="F306" s="254" t="s">
        <v>2393</v>
      </c>
      <c r="G306" s="230">
        <v>933796</v>
      </c>
      <c r="H306" s="230">
        <v>360</v>
      </c>
      <c r="I306" s="253">
        <v>44183</v>
      </c>
      <c r="J306" s="253"/>
      <c r="K306" s="251"/>
      <c r="L306" s="233">
        <v>165000</v>
      </c>
      <c r="M306" s="233">
        <f>82500-165000</f>
        <v>-82500</v>
      </c>
      <c r="N306" s="246"/>
      <c r="O306" s="246"/>
      <c r="P306" s="196"/>
      <c r="Q306" s="196"/>
      <c r="R306" s="196"/>
    </row>
    <row r="307" spans="1:18">
      <c r="A307" s="5" t="s">
        <v>664</v>
      </c>
      <c r="B307" s="116">
        <v>12286</v>
      </c>
      <c r="C307" s="58" t="s">
        <v>165</v>
      </c>
      <c r="D307" s="181">
        <v>221201</v>
      </c>
      <c r="E307" s="75">
        <v>44573</v>
      </c>
      <c r="F307" s="268" t="s">
        <v>2984</v>
      </c>
      <c r="G307" s="130">
        <v>934836</v>
      </c>
      <c r="H307" s="130" t="s">
        <v>743</v>
      </c>
      <c r="I307" s="108"/>
      <c r="J307" s="108"/>
      <c r="K307" s="26"/>
      <c r="L307" s="14"/>
      <c r="M307" s="14">
        <f>30000</f>
        <v>30000</v>
      </c>
      <c r="N307" s="52"/>
      <c r="O307" s="52"/>
    </row>
    <row r="308" spans="1:18">
      <c r="A308" s="5" t="s">
        <v>664</v>
      </c>
      <c r="B308" s="116">
        <v>12286</v>
      </c>
      <c r="C308" s="58" t="s">
        <v>165</v>
      </c>
      <c r="D308" s="181">
        <v>223565</v>
      </c>
      <c r="E308" s="75">
        <v>44592</v>
      </c>
      <c r="F308" s="268" t="s">
        <v>795</v>
      </c>
      <c r="G308" s="130">
        <v>937941</v>
      </c>
      <c r="H308" s="130" t="s">
        <v>2985</v>
      </c>
      <c r="I308" s="108"/>
      <c r="J308" s="108"/>
      <c r="K308" s="26"/>
      <c r="L308" s="14"/>
      <c r="M308" s="14">
        <v>-50000</v>
      </c>
      <c r="N308" s="52"/>
      <c r="O308" s="52"/>
    </row>
    <row r="309" spans="1:18" s="6" customFormat="1">
      <c r="A309" s="6" t="s">
        <v>1549</v>
      </c>
      <c r="B309" s="114">
        <v>12287</v>
      </c>
      <c r="C309" s="36" t="s">
        <v>166</v>
      </c>
      <c r="D309" s="162">
        <v>183685</v>
      </c>
      <c r="E309" s="65">
        <v>42802</v>
      </c>
      <c r="F309" s="9" t="s">
        <v>967</v>
      </c>
      <c r="G309" s="126">
        <v>917769</v>
      </c>
      <c r="H309" s="129">
        <v>1098</v>
      </c>
      <c r="I309" s="15">
        <v>43101</v>
      </c>
      <c r="J309" s="15"/>
      <c r="K309" s="26">
        <v>43465</v>
      </c>
      <c r="L309" s="11">
        <v>1018752</v>
      </c>
      <c r="M309" s="14">
        <f>-1018752+305625.6+305625.6+305625.6</f>
        <v>-101875.20000000007</v>
      </c>
      <c r="N309" s="13" t="s">
        <v>986</v>
      </c>
      <c r="P309" s="194"/>
      <c r="Q309" s="191"/>
      <c r="R309" s="16"/>
    </row>
    <row r="310" spans="1:18">
      <c r="A310" t="s">
        <v>664</v>
      </c>
      <c r="B310" s="114">
        <v>12288</v>
      </c>
      <c r="C310" s="36" t="s">
        <v>167</v>
      </c>
      <c r="D310" s="114">
        <v>112472</v>
      </c>
      <c r="E310" s="76">
        <v>41597</v>
      </c>
      <c r="F310" t="s">
        <v>698</v>
      </c>
      <c r="G310" s="126">
        <v>69846</v>
      </c>
      <c r="H310" s="129">
        <v>608</v>
      </c>
      <c r="I310" s="15">
        <v>41369</v>
      </c>
      <c r="J310" s="15"/>
      <c r="K310" s="26" t="s">
        <v>78</v>
      </c>
      <c r="L310" s="11">
        <v>0</v>
      </c>
      <c r="M310" s="14">
        <v>-243</v>
      </c>
      <c r="N310" s="62" t="s">
        <v>699</v>
      </c>
      <c r="Q310" s="194"/>
      <c r="R310" s="194"/>
    </row>
    <row r="311" spans="1:18">
      <c r="A311" s="6" t="s">
        <v>690</v>
      </c>
      <c r="B311" s="116">
        <v>12290</v>
      </c>
      <c r="C311" s="58" t="s">
        <v>169</v>
      </c>
      <c r="D311" s="116">
        <v>183662</v>
      </c>
      <c r="E311" s="65">
        <v>42796</v>
      </c>
      <c r="F311" s="5" t="s">
        <v>961</v>
      </c>
      <c r="G311" s="130">
        <v>916077</v>
      </c>
      <c r="H311" s="134">
        <v>1255</v>
      </c>
      <c r="I311" s="15"/>
      <c r="J311" s="15"/>
      <c r="K311" s="26"/>
      <c r="L311" s="11">
        <v>1262150</v>
      </c>
      <c r="M311" s="14">
        <v>-1262150</v>
      </c>
      <c r="N311" s="13" t="s">
        <v>968</v>
      </c>
      <c r="P311" s="16"/>
      <c r="Q311" s="6"/>
      <c r="R311" s="194"/>
    </row>
    <row r="312" spans="1:18">
      <c r="A312" s="6" t="s">
        <v>690</v>
      </c>
      <c r="B312" s="114">
        <v>12290</v>
      </c>
      <c r="C312" s="36" t="s">
        <v>169</v>
      </c>
      <c r="D312" s="114">
        <v>191237</v>
      </c>
      <c r="E312" s="76">
        <v>43208</v>
      </c>
      <c r="F312" s="5" t="s">
        <v>25</v>
      </c>
      <c r="G312" s="126">
        <v>34711</v>
      </c>
      <c r="H312" s="134">
        <v>1107</v>
      </c>
      <c r="I312" s="66">
        <v>43132</v>
      </c>
      <c r="J312" s="66"/>
      <c r="K312" s="26">
        <v>44957</v>
      </c>
      <c r="L312" s="11">
        <v>200000</v>
      </c>
      <c r="M312" s="14">
        <v>-200000</v>
      </c>
      <c r="N312" s="25" t="s">
        <v>44</v>
      </c>
      <c r="P312" s="16"/>
      <c r="Q312" s="6"/>
      <c r="R312" s="194"/>
    </row>
    <row r="313" spans="1:18" ht="13.5" customHeight="1">
      <c r="A313" s="6" t="s">
        <v>690</v>
      </c>
      <c r="B313" s="114">
        <v>12290</v>
      </c>
      <c r="C313" s="36" t="s">
        <v>169</v>
      </c>
      <c r="D313" s="114">
        <v>193602</v>
      </c>
      <c r="E313" s="76">
        <v>43297</v>
      </c>
      <c r="F313" s="5" t="s">
        <v>1030</v>
      </c>
      <c r="G313" s="126">
        <v>923917</v>
      </c>
      <c r="H313" s="129" t="s">
        <v>17</v>
      </c>
      <c r="I313" s="149">
        <v>43374</v>
      </c>
      <c r="J313" s="149"/>
      <c r="K313" s="26"/>
      <c r="L313" s="11">
        <v>130000</v>
      </c>
      <c r="M313" s="14">
        <f>-130000+65000</f>
        <v>-65000</v>
      </c>
      <c r="N313" s="13" t="s">
        <v>968</v>
      </c>
      <c r="P313" s="16"/>
      <c r="Q313" s="6"/>
      <c r="R313" s="194"/>
    </row>
    <row r="314" spans="1:18" s="6" customFormat="1" ht="12.75" customHeight="1">
      <c r="A314" t="s">
        <v>664</v>
      </c>
      <c r="B314" s="116">
        <v>12291</v>
      </c>
      <c r="C314" s="58" t="s">
        <v>170</v>
      </c>
      <c r="D314" s="116">
        <v>190788</v>
      </c>
      <c r="E314" s="87">
        <v>43178</v>
      </c>
      <c r="F314" s="111" t="s">
        <v>996</v>
      </c>
      <c r="G314" s="130">
        <v>922967</v>
      </c>
      <c r="H314" s="129">
        <v>2102</v>
      </c>
      <c r="I314" s="15">
        <v>43266</v>
      </c>
      <c r="J314" s="15"/>
      <c r="K314" s="26">
        <v>43630</v>
      </c>
      <c r="L314" s="11">
        <v>202950</v>
      </c>
      <c r="M314" s="14">
        <f>-202950+202950-944.4+944.5</f>
        <v>0.10000000000002274</v>
      </c>
      <c r="N314" s="13" t="s">
        <v>986</v>
      </c>
      <c r="O314" s="179"/>
      <c r="P314" s="191"/>
      <c r="Q314" s="194"/>
      <c r="R314" s="194"/>
    </row>
    <row r="315" spans="1:18" s="6" customFormat="1">
      <c r="A315" t="s">
        <v>664</v>
      </c>
      <c r="B315" s="116">
        <v>12291</v>
      </c>
      <c r="C315" s="58" t="s">
        <v>170</v>
      </c>
      <c r="D315" s="116">
        <v>196882</v>
      </c>
      <c r="E315" s="87">
        <v>43462</v>
      </c>
      <c r="F315" s="111" t="s">
        <v>1058</v>
      </c>
      <c r="G315" s="130">
        <v>926546</v>
      </c>
      <c r="H315" s="129">
        <v>1100</v>
      </c>
      <c r="I315" s="49">
        <v>43461</v>
      </c>
      <c r="J315" s="49"/>
      <c r="K315" s="26"/>
      <c r="L315" s="11">
        <v>50000</v>
      </c>
      <c r="M315" s="14">
        <v>-50000</v>
      </c>
      <c r="N315" s="13" t="s">
        <v>968</v>
      </c>
      <c r="P315" s="191"/>
      <c r="Q315" s="191"/>
      <c r="R315" s="191"/>
    </row>
    <row r="316" spans="1:18" s="6" customFormat="1">
      <c r="A316" t="s">
        <v>664</v>
      </c>
      <c r="B316" s="116">
        <v>12291</v>
      </c>
      <c r="C316" s="58" t="s">
        <v>170</v>
      </c>
      <c r="D316" s="116">
        <v>211897</v>
      </c>
      <c r="E316" s="87">
        <v>43672</v>
      </c>
      <c r="F316" s="111" t="s">
        <v>645</v>
      </c>
      <c r="G316" s="130">
        <v>64056</v>
      </c>
      <c r="H316" s="129" t="s">
        <v>1100</v>
      </c>
      <c r="I316" s="49">
        <v>43647</v>
      </c>
      <c r="J316" s="49"/>
      <c r="K316" s="26"/>
      <c r="L316" s="11">
        <v>35000</v>
      </c>
      <c r="M316" s="14">
        <v>-35000</v>
      </c>
      <c r="N316" s="13" t="s">
        <v>968</v>
      </c>
      <c r="P316" s="191"/>
      <c r="Q316" s="191"/>
      <c r="R316" s="191"/>
    </row>
    <row r="317" spans="1:18" s="6" customFormat="1">
      <c r="A317" t="s">
        <v>664</v>
      </c>
      <c r="B317" s="116">
        <v>12291</v>
      </c>
      <c r="C317" s="58" t="s">
        <v>170</v>
      </c>
      <c r="D317" s="116">
        <v>220763</v>
      </c>
      <c r="E317" s="87">
        <v>44377</v>
      </c>
      <c r="F317" s="111" t="s">
        <v>736</v>
      </c>
      <c r="G317" s="130">
        <v>930631</v>
      </c>
      <c r="H317" s="129" t="s">
        <v>893</v>
      </c>
      <c r="I317" s="66">
        <v>43981</v>
      </c>
      <c r="J317" s="66"/>
      <c r="K317" s="26"/>
      <c r="L317" s="11">
        <v>442500</v>
      </c>
      <c r="M317" s="14">
        <f>-442500+442500</f>
        <v>0</v>
      </c>
      <c r="N317" s="13"/>
      <c r="P317" s="191"/>
      <c r="Q317" s="191"/>
      <c r="R317" s="191"/>
    </row>
    <row r="318" spans="1:18" s="6" customFormat="1">
      <c r="A318" t="s">
        <v>664</v>
      </c>
      <c r="B318" s="116">
        <v>12291</v>
      </c>
      <c r="C318" s="58" t="s">
        <v>170</v>
      </c>
      <c r="D318" s="116">
        <v>221062</v>
      </c>
      <c r="E318" s="87">
        <v>44377</v>
      </c>
      <c r="F318" s="212" t="s">
        <v>639</v>
      </c>
      <c r="G318" s="130">
        <v>913621</v>
      </c>
      <c r="H318" s="129">
        <v>9228</v>
      </c>
      <c r="I318" s="66">
        <v>44256</v>
      </c>
      <c r="J318" s="66"/>
      <c r="K318" s="26"/>
      <c r="L318" s="11">
        <v>25000</v>
      </c>
      <c r="M318" s="14">
        <f>-25000+25000</f>
        <v>0</v>
      </c>
      <c r="N318" s="13"/>
      <c r="P318" s="191"/>
      <c r="Q318" s="191"/>
      <c r="R318" s="191"/>
    </row>
    <row r="319" spans="1:18" s="6" customFormat="1">
      <c r="A319" s="5" t="s">
        <v>664</v>
      </c>
      <c r="B319" s="116">
        <v>12291</v>
      </c>
      <c r="C319" s="58" t="s">
        <v>170</v>
      </c>
      <c r="D319" s="116">
        <v>213080</v>
      </c>
      <c r="E319" s="87">
        <v>43752</v>
      </c>
      <c r="F319" s="111" t="s">
        <v>811</v>
      </c>
      <c r="G319" s="130">
        <v>104761</v>
      </c>
      <c r="H319" s="129">
        <v>2062</v>
      </c>
      <c r="I319" s="66">
        <v>43647</v>
      </c>
      <c r="J319" s="66"/>
      <c r="K319" s="26">
        <v>44378</v>
      </c>
      <c r="L319" s="14">
        <v>436590</v>
      </c>
      <c r="M319" s="14">
        <f>-436590+436590</f>
        <v>0</v>
      </c>
      <c r="N319" s="13" t="s">
        <v>989</v>
      </c>
      <c r="P319" s="191"/>
      <c r="Q319" s="194"/>
      <c r="R319" s="194"/>
    </row>
    <row r="320" spans="1:18" s="6" customFormat="1">
      <c r="A320" s="5" t="s">
        <v>664</v>
      </c>
      <c r="B320" s="116">
        <v>12291</v>
      </c>
      <c r="C320" s="58" t="s">
        <v>170</v>
      </c>
      <c r="D320" s="116">
        <v>214668</v>
      </c>
      <c r="E320" s="87">
        <v>43801</v>
      </c>
      <c r="F320" s="111" t="s">
        <v>1129</v>
      </c>
      <c r="G320" s="130">
        <v>928503</v>
      </c>
      <c r="H320" s="129">
        <v>1034</v>
      </c>
      <c r="I320" s="66">
        <v>43642</v>
      </c>
      <c r="J320" s="66"/>
      <c r="K320" s="26">
        <v>44008</v>
      </c>
      <c r="L320" s="14">
        <v>130650</v>
      </c>
      <c r="M320" s="14">
        <f>-130650+130650</f>
        <v>0</v>
      </c>
      <c r="N320" s="13" t="s">
        <v>986</v>
      </c>
      <c r="P320" s="191"/>
      <c r="Q320" s="194"/>
      <c r="R320" s="194"/>
    </row>
    <row r="321" spans="1:18" s="6" customFormat="1">
      <c r="A321" t="s">
        <v>664</v>
      </c>
      <c r="B321" s="116">
        <v>12291</v>
      </c>
      <c r="C321" s="58" t="s">
        <v>170</v>
      </c>
      <c r="D321" s="116">
        <v>216267</v>
      </c>
      <c r="E321" s="87">
        <v>43924</v>
      </c>
      <c r="F321" s="111" t="s">
        <v>1230</v>
      </c>
      <c r="G321" s="130">
        <v>930352</v>
      </c>
      <c r="H321" s="129">
        <v>1080</v>
      </c>
      <c r="I321" s="66">
        <v>43848</v>
      </c>
      <c r="J321" s="66"/>
      <c r="K321" s="26">
        <v>44030</v>
      </c>
      <c r="L321" s="11">
        <v>556000</v>
      </c>
      <c r="M321" s="14">
        <v>0</v>
      </c>
      <c r="N321" s="13" t="s">
        <v>1279</v>
      </c>
      <c r="P321" s="191"/>
      <c r="Q321" s="194"/>
      <c r="R321" s="194"/>
    </row>
    <row r="322" spans="1:18" s="6" customFormat="1">
      <c r="A322" t="s">
        <v>664</v>
      </c>
      <c r="B322" s="116">
        <v>12291</v>
      </c>
      <c r="C322" s="58" t="s">
        <v>170</v>
      </c>
      <c r="D322" s="116">
        <v>216339</v>
      </c>
      <c r="E322" s="87">
        <v>43930</v>
      </c>
      <c r="F322" s="111" t="s">
        <v>1201</v>
      </c>
      <c r="G322" s="130">
        <v>930435</v>
      </c>
      <c r="H322" s="129">
        <v>1001</v>
      </c>
      <c r="I322" s="66">
        <v>43862</v>
      </c>
      <c r="J322" s="66"/>
      <c r="K322" s="26">
        <v>44228</v>
      </c>
      <c r="L322" s="11">
        <v>89480</v>
      </c>
      <c r="M322" s="14">
        <f>-89480+89480</f>
        <v>0</v>
      </c>
      <c r="N322" s="13" t="s">
        <v>986</v>
      </c>
      <c r="P322" s="191"/>
      <c r="Q322" s="194"/>
      <c r="R322" s="194"/>
    </row>
    <row r="323" spans="1:18" s="6" customFormat="1" ht="51">
      <c r="A323" s="5" t="s">
        <v>664</v>
      </c>
      <c r="B323" s="116">
        <v>12291</v>
      </c>
      <c r="C323" s="58" t="s">
        <v>170</v>
      </c>
      <c r="D323" s="116">
        <v>220644</v>
      </c>
      <c r="E323" s="87">
        <v>44313</v>
      </c>
      <c r="F323" s="111" t="s">
        <v>802</v>
      </c>
      <c r="G323" s="130">
        <v>934145</v>
      </c>
      <c r="H323" s="129" t="s">
        <v>894</v>
      </c>
      <c r="I323" s="66">
        <v>44357</v>
      </c>
      <c r="J323" s="66"/>
      <c r="K323" s="26"/>
      <c r="L323" s="14">
        <v>1125000</v>
      </c>
      <c r="M323" s="14">
        <f>1125000-1125000+900000-1125000</f>
        <v>-225000</v>
      </c>
      <c r="N323" s="52" t="s">
        <v>2202</v>
      </c>
      <c r="P323" s="191"/>
      <c r="Q323" s="194"/>
      <c r="R323" s="194"/>
    </row>
    <row r="324" spans="1:18" s="6" customFormat="1" ht="25.5">
      <c r="A324" s="5" t="s">
        <v>664</v>
      </c>
      <c r="B324" s="116">
        <v>12291</v>
      </c>
      <c r="C324" s="58" t="s">
        <v>170</v>
      </c>
      <c r="D324" s="116">
        <v>221920</v>
      </c>
      <c r="E324" s="87">
        <v>44424</v>
      </c>
      <c r="F324" s="111" t="s">
        <v>647</v>
      </c>
      <c r="G324" s="130">
        <v>243731</v>
      </c>
      <c r="H324" s="129">
        <v>183</v>
      </c>
      <c r="I324" s="66">
        <v>43922</v>
      </c>
      <c r="J324" s="66"/>
      <c r="K324" s="26"/>
      <c r="L324" s="14">
        <v>637400</v>
      </c>
      <c r="M324" s="14">
        <f>-637400+191220+191220+191220</f>
        <v>-63740</v>
      </c>
      <c r="N324" s="52" t="s">
        <v>2201</v>
      </c>
      <c r="P324" s="191"/>
      <c r="Q324" s="194"/>
      <c r="R324" s="194"/>
    </row>
    <row r="325" spans="1:18" s="6" customFormat="1">
      <c r="A325" s="5" t="s">
        <v>664</v>
      </c>
      <c r="B325" s="116">
        <v>12291</v>
      </c>
      <c r="C325" s="58" t="s">
        <v>170</v>
      </c>
      <c r="D325" s="116">
        <v>221142</v>
      </c>
      <c r="E325" s="87">
        <v>44320</v>
      </c>
      <c r="F325" s="5" t="s">
        <v>1358</v>
      </c>
      <c r="G325" s="130">
        <v>933354</v>
      </c>
      <c r="H325" s="129">
        <v>2070</v>
      </c>
      <c r="I325" s="66">
        <v>44183</v>
      </c>
      <c r="J325" s="66"/>
      <c r="K325" s="26"/>
      <c r="L325" s="14" t="s">
        <v>48</v>
      </c>
      <c r="M325" s="14">
        <f>50000-50000</f>
        <v>0</v>
      </c>
      <c r="N325" s="52"/>
      <c r="P325" s="191"/>
      <c r="Q325" s="194"/>
      <c r="R325" s="194"/>
    </row>
    <row r="326" spans="1:18" s="6" customFormat="1">
      <c r="A326" s="5" t="s">
        <v>664</v>
      </c>
      <c r="B326" s="116">
        <v>12291</v>
      </c>
      <c r="C326" s="58" t="s">
        <v>170</v>
      </c>
      <c r="D326" s="116">
        <v>222495</v>
      </c>
      <c r="E326" s="87">
        <v>44469</v>
      </c>
      <c r="F326" s="111" t="s">
        <v>2320</v>
      </c>
      <c r="G326" s="130">
        <v>935109</v>
      </c>
      <c r="H326" s="129"/>
      <c r="I326" s="66"/>
      <c r="J326" s="66"/>
      <c r="K326" s="26"/>
      <c r="L326" s="14">
        <v>5000</v>
      </c>
      <c r="M326" s="14">
        <v>-5000</v>
      </c>
      <c r="N326" s="52"/>
      <c r="P326" s="191"/>
      <c r="Q326" s="194"/>
      <c r="R326" s="194"/>
    </row>
    <row r="327" spans="1:18" s="6" customFormat="1">
      <c r="A327" s="5" t="s">
        <v>664</v>
      </c>
      <c r="B327" s="116">
        <v>12291</v>
      </c>
      <c r="C327" s="58" t="s">
        <v>170</v>
      </c>
      <c r="D327" s="116">
        <v>222650</v>
      </c>
      <c r="E327" s="87">
        <v>44501</v>
      </c>
      <c r="F327" s="111" t="s">
        <v>825</v>
      </c>
      <c r="G327" s="130"/>
      <c r="H327" s="129"/>
      <c r="I327" s="66"/>
      <c r="J327" s="66"/>
      <c r="K327" s="26"/>
      <c r="L327" s="14"/>
      <c r="M327" s="14">
        <v>-202540</v>
      </c>
      <c r="N327" s="52"/>
      <c r="P327" s="191"/>
      <c r="Q327" s="194"/>
      <c r="R327" s="194"/>
    </row>
    <row r="328" spans="1:18" s="6" customFormat="1">
      <c r="A328" s="5" t="s">
        <v>664</v>
      </c>
      <c r="B328" s="116">
        <v>12291</v>
      </c>
      <c r="C328" s="58" t="s">
        <v>170</v>
      </c>
      <c r="D328" s="116">
        <v>222921</v>
      </c>
      <c r="E328" s="87">
        <v>44501</v>
      </c>
      <c r="F328" s="212" t="s">
        <v>809</v>
      </c>
      <c r="G328" s="130"/>
      <c r="H328" s="129"/>
      <c r="I328" s="66"/>
      <c r="J328" s="66"/>
      <c r="K328" s="26"/>
      <c r="L328" s="14"/>
      <c r="M328" s="14">
        <v>-1538925</v>
      </c>
      <c r="N328" s="52"/>
      <c r="P328" s="191"/>
      <c r="Q328" s="194"/>
      <c r="R328" s="194"/>
    </row>
    <row r="329" spans="1:18" s="6" customFormat="1">
      <c r="A329" s="5" t="s">
        <v>664</v>
      </c>
      <c r="B329" s="116">
        <v>12291</v>
      </c>
      <c r="C329" s="58" t="s">
        <v>170</v>
      </c>
      <c r="D329" s="116">
        <v>220764</v>
      </c>
      <c r="E329" s="87">
        <v>44561</v>
      </c>
      <c r="F329" s="212" t="s">
        <v>2528</v>
      </c>
      <c r="G329" s="130"/>
      <c r="H329" s="129"/>
      <c r="I329" s="66"/>
      <c r="J329" s="66"/>
      <c r="K329" s="26"/>
      <c r="L329" s="14"/>
      <c r="M329" s="14">
        <v>-239840</v>
      </c>
      <c r="N329" s="52"/>
      <c r="P329" s="191"/>
      <c r="Q329" s="194"/>
      <c r="R329" s="194"/>
    </row>
    <row r="330" spans="1:18" s="6" customFormat="1">
      <c r="A330" s="5" t="s">
        <v>664</v>
      </c>
      <c r="B330" s="116">
        <v>12291</v>
      </c>
      <c r="C330" s="58" t="s">
        <v>170</v>
      </c>
      <c r="D330" s="116">
        <v>214853</v>
      </c>
      <c r="E330" s="87">
        <v>44475</v>
      </c>
      <c r="F330" s="111" t="s">
        <v>46</v>
      </c>
      <c r="G330" s="130">
        <v>282301</v>
      </c>
      <c r="H330" s="129"/>
      <c r="I330" s="66"/>
      <c r="J330" s="66"/>
      <c r="K330" s="26"/>
      <c r="L330" s="14"/>
      <c r="M330" s="14">
        <f>2046640-2046640</f>
        <v>0</v>
      </c>
      <c r="N330" s="52"/>
      <c r="P330" s="191"/>
      <c r="Q330" s="194"/>
      <c r="R330" s="194"/>
    </row>
    <row r="331" spans="1:18" ht="25.5">
      <c r="A331" t="s">
        <v>664</v>
      </c>
      <c r="B331" s="114">
        <v>12292</v>
      </c>
      <c r="C331" s="36" t="s">
        <v>171</v>
      </c>
      <c r="D331" s="114">
        <v>186255</v>
      </c>
      <c r="E331" s="65">
        <v>42929</v>
      </c>
      <c r="F331" t="s">
        <v>629</v>
      </c>
      <c r="G331" s="126">
        <v>106903</v>
      </c>
      <c r="H331" s="134">
        <v>249</v>
      </c>
      <c r="I331" s="15">
        <v>42583</v>
      </c>
      <c r="J331" s="15"/>
      <c r="K331" s="26">
        <v>42947</v>
      </c>
      <c r="L331" s="11">
        <v>250000</v>
      </c>
      <c r="M331" s="14">
        <f>-250000+125000+109000+16000</f>
        <v>0</v>
      </c>
      <c r="N331" s="222" t="s">
        <v>2010</v>
      </c>
      <c r="O331" s="220"/>
      <c r="Q331" s="194"/>
      <c r="R331" s="194"/>
    </row>
    <row r="332" spans="1:18">
      <c r="A332" t="s">
        <v>664</v>
      </c>
      <c r="B332" s="114">
        <v>12292</v>
      </c>
      <c r="C332" s="36" t="s">
        <v>171</v>
      </c>
      <c r="D332" s="114">
        <v>193601</v>
      </c>
      <c r="E332" s="65">
        <v>43297</v>
      </c>
      <c r="F332" t="s">
        <v>611</v>
      </c>
      <c r="G332" s="126">
        <v>923680</v>
      </c>
      <c r="H332" s="134">
        <v>306</v>
      </c>
      <c r="I332" s="149">
        <v>43355</v>
      </c>
      <c r="J332" s="149"/>
      <c r="K332" s="26"/>
      <c r="L332" s="11">
        <v>1410981</v>
      </c>
      <c r="M332" s="221">
        <f>-1410981+103500+334320+20000+19000+8000+28000+45000+507341+334320</f>
        <v>-11500</v>
      </c>
      <c r="N332" s="140" t="s">
        <v>1029</v>
      </c>
      <c r="Q332" s="194"/>
      <c r="R332" s="194"/>
    </row>
    <row r="333" spans="1:18" ht="25.5">
      <c r="A333" t="s">
        <v>664</v>
      </c>
      <c r="B333" s="114">
        <v>12292</v>
      </c>
      <c r="C333" s="36" t="s">
        <v>171</v>
      </c>
      <c r="D333" s="114">
        <v>193722</v>
      </c>
      <c r="E333" s="65">
        <v>43312</v>
      </c>
      <c r="F333" t="s">
        <v>636</v>
      </c>
      <c r="G333" s="126">
        <v>106966</v>
      </c>
      <c r="H333" s="134">
        <v>1124</v>
      </c>
      <c r="I333" s="15">
        <v>43402</v>
      </c>
      <c r="J333" s="15"/>
      <c r="K333" s="26">
        <v>44132</v>
      </c>
      <c r="L333" s="11">
        <v>462044</v>
      </c>
      <c r="M333" s="14">
        <f>-462044+138613.2+138613.2+138613.2+3869.94+42334.46</f>
        <v>0</v>
      </c>
      <c r="N333" s="140" t="s">
        <v>2007</v>
      </c>
      <c r="O333" s="6"/>
      <c r="Q333" s="194"/>
      <c r="R333" s="194"/>
    </row>
    <row r="334" spans="1:18">
      <c r="A334" t="s">
        <v>664</v>
      </c>
      <c r="B334" s="114">
        <v>12292</v>
      </c>
      <c r="C334" s="36" t="s">
        <v>171</v>
      </c>
      <c r="D334" s="114">
        <v>196866</v>
      </c>
      <c r="E334" s="65">
        <v>43461</v>
      </c>
      <c r="F334" t="s">
        <v>622</v>
      </c>
      <c r="G334" s="126">
        <v>107443</v>
      </c>
      <c r="H334" s="134">
        <v>128</v>
      </c>
      <c r="I334" s="15">
        <v>42036</v>
      </c>
      <c r="J334" s="15"/>
      <c r="K334" s="26">
        <v>43861</v>
      </c>
      <c r="L334" s="11">
        <v>51000</v>
      </c>
      <c r="M334" s="221">
        <v>-51000</v>
      </c>
      <c r="N334" s="140" t="s">
        <v>950</v>
      </c>
      <c r="Q334" s="194"/>
      <c r="R334" s="194"/>
    </row>
    <row r="335" spans="1:18">
      <c r="A335" t="s">
        <v>664</v>
      </c>
      <c r="B335" s="114">
        <v>12292</v>
      </c>
      <c r="C335" s="36" t="s">
        <v>171</v>
      </c>
      <c r="D335" s="114">
        <v>197033</v>
      </c>
      <c r="E335" s="65">
        <v>43465</v>
      </c>
      <c r="F335" t="s">
        <v>1058</v>
      </c>
      <c r="G335" s="126">
        <v>926557</v>
      </c>
      <c r="H335" s="134">
        <v>2098</v>
      </c>
      <c r="I335" s="49">
        <v>43402</v>
      </c>
      <c r="J335" s="49"/>
      <c r="K335" s="26"/>
      <c r="L335" s="11">
        <v>50000</v>
      </c>
      <c r="M335" s="14">
        <f>-50000+50000</f>
        <v>0</v>
      </c>
      <c r="N335" s="140" t="s">
        <v>2006</v>
      </c>
      <c r="O335" s="6"/>
      <c r="Q335" s="194"/>
      <c r="R335" s="194"/>
    </row>
    <row r="336" spans="1:18">
      <c r="A336" t="s">
        <v>664</v>
      </c>
      <c r="B336" s="114">
        <v>12292</v>
      </c>
      <c r="C336" s="36" t="s">
        <v>171</v>
      </c>
      <c r="D336" s="114">
        <v>215398</v>
      </c>
      <c r="E336" s="65">
        <v>43872</v>
      </c>
      <c r="F336" t="s">
        <v>1182</v>
      </c>
      <c r="G336" s="126">
        <v>930623</v>
      </c>
      <c r="H336" s="134">
        <v>229</v>
      </c>
      <c r="I336" s="15">
        <v>43800</v>
      </c>
      <c r="J336" s="15"/>
      <c r="K336" s="26">
        <v>44166</v>
      </c>
      <c r="L336" s="11">
        <v>50000</v>
      </c>
      <c r="M336" s="14">
        <f>-50000+50000</f>
        <v>0</v>
      </c>
      <c r="N336" s="13" t="s">
        <v>2005</v>
      </c>
      <c r="O336" s="6"/>
      <c r="Q336" s="194"/>
      <c r="R336" s="194"/>
    </row>
    <row r="337" spans="1:18" s="6" customFormat="1" ht="12.75" customHeight="1">
      <c r="A337" t="s">
        <v>664</v>
      </c>
      <c r="B337" s="116">
        <v>12292</v>
      </c>
      <c r="C337" s="58" t="s">
        <v>171</v>
      </c>
      <c r="D337" s="116">
        <v>219855</v>
      </c>
      <c r="E337" s="65">
        <v>44256</v>
      </c>
      <c r="F337" s="6" t="s">
        <v>1277</v>
      </c>
      <c r="G337" s="130">
        <v>931265</v>
      </c>
      <c r="H337" s="129"/>
      <c r="I337" s="15"/>
      <c r="J337" s="15"/>
      <c r="K337" s="15"/>
      <c r="L337" s="14">
        <v>95895</v>
      </c>
      <c r="M337" s="221">
        <f>65401.72-95895</f>
        <v>-30493.279999999999</v>
      </c>
      <c r="N337" s="13" t="s">
        <v>2003</v>
      </c>
      <c r="P337" s="191"/>
      <c r="Q337" s="194"/>
      <c r="R337" s="194"/>
    </row>
    <row r="338" spans="1:18">
      <c r="A338" t="s">
        <v>664</v>
      </c>
      <c r="B338" s="114">
        <v>12293</v>
      </c>
      <c r="C338" s="36" t="s">
        <v>172</v>
      </c>
      <c r="D338" s="114">
        <v>214744</v>
      </c>
      <c r="E338" s="78">
        <v>43832</v>
      </c>
      <c r="F338" t="s">
        <v>616</v>
      </c>
      <c r="G338" s="126">
        <v>66392</v>
      </c>
      <c r="H338" s="129" t="s">
        <v>854</v>
      </c>
      <c r="I338" s="15">
        <v>43620</v>
      </c>
      <c r="J338" s="15"/>
      <c r="K338" s="26">
        <v>44716</v>
      </c>
      <c r="L338" s="11">
        <v>636000</v>
      </c>
      <c r="M338" s="14">
        <f>-636000+536943.9</f>
        <v>-99056.099999999977</v>
      </c>
      <c r="N338" s="13" t="s">
        <v>1032</v>
      </c>
      <c r="O338" s="6"/>
      <c r="Q338" s="194"/>
      <c r="R338" s="194"/>
    </row>
    <row r="339" spans="1:18">
      <c r="A339" t="s">
        <v>664</v>
      </c>
      <c r="B339" s="114">
        <v>12293</v>
      </c>
      <c r="C339" s="36" t="s">
        <v>172</v>
      </c>
      <c r="D339" s="114">
        <v>211125</v>
      </c>
      <c r="E339" s="78">
        <v>43873</v>
      </c>
      <c r="F339" s="9" t="s">
        <v>1188</v>
      </c>
      <c r="G339" s="126">
        <v>927733</v>
      </c>
      <c r="H339" s="129" t="s">
        <v>20</v>
      </c>
      <c r="I339" s="15">
        <v>43630</v>
      </c>
      <c r="J339" s="15"/>
      <c r="K339" s="26">
        <v>43996</v>
      </c>
      <c r="L339" s="11">
        <v>15000</v>
      </c>
      <c r="M339" s="14">
        <f>-15000+15000</f>
        <v>0</v>
      </c>
      <c r="N339" s="13" t="s">
        <v>986</v>
      </c>
      <c r="O339" s="6"/>
      <c r="Q339" s="194"/>
      <c r="R339" s="194"/>
    </row>
    <row r="340" spans="1:18">
      <c r="A340" t="s">
        <v>664</v>
      </c>
      <c r="B340" s="114">
        <v>12293</v>
      </c>
      <c r="C340" s="36" t="s">
        <v>172</v>
      </c>
      <c r="D340" s="114">
        <v>219739</v>
      </c>
      <c r="E340" s="78">
        <v>44075</v>
      </c>
      <c r="F340" s="9" t="s">
        <v>1157</v>
      </c>
      <c r="G340" s="126">
        <v>931614</v>
      </c>
      <c r="H340" s="129" t="s">
        <v>695</v>
      </c>
      <c r="I340" s="15">
        <v>43979</v>
      </c>
      <c r="J340" s="15"/>
      <c r="K340" s="15">
        <v>44343</v>
      </c>
      <c r="L340" s="11">
        <v>648330.25</v>
      </c>
      <c r="M340" s="14">
        <f>-648330.25+635364.25</f>
        <v>-12966</v>
      </c>
      <c r="N340" s="13" t="s">
        <v>986</v>
      </c>
      <c r="O340" s="179"/>
      <c r="Q340" s="194"/>
      <c r="R340" s="194"/>
    </row>
    <row r="341" spans="1:18">
      <c r="A341" t="s">
        <v>664</v>
      </c>
      <c r="B341" s="114">
        <v>12293</v>
      </c>
      <c r="C341" s="36" t="s">
        <v>172</v>
      </c>
      <c r="D341" s="114">
        <v>221412</v>
      </c>
      <c r="E341" s="78">
        <v>44439</v>
      </c>
      <c r="F341" s="9" t="s">
        <v>2196</v>
      </c>
      <c r="G341" s="126">
        <v>108820</v>
      </c>
      <c r="H341" s="129" t="s">
        <v>707</v>
      </c>
      <c r="I341" s="15">
        <v>44927</v>
      </c>
      <c r="J341" s="15"/>
      <c r="K341" s="15">
        <v>45291</v>
      </c>
      <c r="L341" s="11">
        <v>150000</v>
      </c>
      <c r="M341" s="14">
        <v>-150000</v>
      </c>
      <c r="N341" s="13" t="s">
        <v>986</v>
      </c>
      <c r="O341" s="179"/>
      <c r="Q341" s="194"/>
      <c r="R341" s="194"/>
    </row>
    <row r="342" spans="1:18">
      <c r="A342" t="s">
        <v>664</v>
      </c>
      <c r="B342" s="114">
        <v>12293</v>
      </c>
      <c r="C342" s="36" t="s">
        <v>172</v>
      </c>
      <c r="D342" s="114">
        <v>221897</v>
      </c>
      <c r="E342" s="78">
        <v>44439</v>
      </c>
      <c r="F342" s="9" t="s">
        <v>2197</v>
      </c>
      <c r="G342" s="126">
        <v>935573</v>
      </c>
      <c r="H342" s="129" t="s">
        <v>2203</v>
      </c>
      <c r="I342" s="16"/>
      <c r="J342" s="16"/>
      <c r="K342" s="15"/>
      <c r="L342" s="11">
        <v>288830</v>
      </c>
      <c r="M342" s="14">
        <v>-288830</v>
      </c>
      <c r="N342" s="13" t="s">
        <v>1888</v>
      </c>
      <c r="O342" s="179"/>
      <c r="Q342" s="194"/>
      <c r="R342" s="194"/>
    </row>
    <row r="343" spans="1:18">
      <c r="A343" t="s">
        <v>664</v>
      </c>
      <c r="B343" s="114">
        <v>12293</v>
      </c>
      <c r="C343" s="36" t="s">
        <v>172</v>
      </c>
      <c r="D343" s="114">
        <v>221913</v>
      </c>
      <c r="E343" s="78">
        <v>44439</v>
      </c>
      <c r="F343" s="9" t="s">
        <v>2198</v>
      </c>
      <c r="G343" s="126">
        <v>932386</v>
      </c>
      <c r="H343" s="129" t="s">
        <v>862</v>
      </c>
      <c r="I343" s="15">
        <v>44166</v>
      </c>
      <c r="J343" s="15"/>
      <c r="K343" s="15">
        <v>44895</v>
      </c>
      <c r="L343" s="11">
        <v>216155</v>
      </c>
      <c r="M343" s="14">
        <f>-216155+216155</f>
        <v>0</v>
      </c>
      <c r="N343" s="13" t="s">
        <v>989</v>
      </c>
      <c r="O343" s="179"/>
      <c r="Q343" s="194"/>
      <c r="R343" s="194"/>
    </row>
    <row r="344" spans="1:18">
      <c r="A344" t="s">
        <v>664</v>
      </c>
      <c r="B344" s="114">
        <v>12293</v>
      </c>
      <c r="C344" s="36" t="s">
        <v>172</v>
      </c>
      <c r="D344" s="114">
        <v>221915</v>
      </c>
      <c r="E344" s="78">
        <v>44439</v>
      </c>
      <c r="F344" s="9" t="s">
        <v>2199</v>
      </c>
      <c r="G344" s="126">
        <v>935862</v>
      </c>
      <c r="H344" s="129">
        <v>2460</v>
      </c>
      <c r="I344" s="15">
        <v>44507</v>
      </c>
      <c r="J344" s="15"/>
      <c r="K344" s="15">
        <v>44871</v>
      </c>
      <c r="L344" s="11">
        <v>75000</v>
      </c>
      <c r="M344" s="14">
        <v>-75000</v>
      </c>
      <c r="N344" s="13" t="s">
        <v>986</v>
      </c>
      <c r="O344" s="179"/>
      <c r="Q344" s="194"/>
      <c r="R344" s="194"/>
    </row>
    <row r="345" spans="1:18">
      <c r="A345" t="s">
        <v>664</v>
      </c>
      <c r="B345" s="114">
        <v>12293</v>
      </c>
      <c r="C345" s="36" t="s">
        <v>172</v>
      </c>
      <c r="D345" s="114">
        <v>221924</v>
      </c>
      <c r="E345" s="78">
        <v>44439</v>
      </c>
      <c r="F345" s="9" t="s">
        <v>619</v>
      </c>
      <c r="G345" s="126">
        <v>931510</v>
      </c>
      <c r="H345" s="129" t="s">
        <v>860</v>
      </c>
      <c r="I345" s="15">
        <v>44375</v>
      </c>
      <c r="J345" s="15"/>
      <c r="K345" s="15">
        <v>44739</v>
      </c>
      <c r="L345" s="11">
        <v>1011021.5</v>
      </c>
      <c r="M345" s="14">
        <v>-1011021.5</v>
      </c>
      <c r="N345" s="13" t="s">
        <v>986</v>
      </c>
      <c r="O345" s="179"/>
      <c r="Q345" s="194"/>
      <c r="R345" s="194"/>
    </row>
    <row r="346" spans="1:18">
      <c r="A346" t="s">
        <v>664</v>
      </c>
      <c r="B346" s="114">
        <v>12293</v>
      </c>
      <c r="C346" s="36" t="s">
        <v>172</v>
      </c>
      <c r="D346" s="114">
        <v>221991</v>
      </c>
      <c r="E346" s="78">
        <v>44439</v>
      </c>
      <c r="F346" s="9" t="s">
        <v>2200</v>
      </c>
      <c r="G346" s="126">
        <v>935916</v>
      </c>
      <c r="H346" s="129" t="s">
        <v>877</v>
      </c>
      <c r="I346" s="15">
        <v>44522</v>
      </c>
      <c r="J346" s="15"/>
      <c r="K346" s="15">
        <v>45067</v>
      </c>
      <c r="L346" s="11">
        <v>175000</v>
      </c>
      <c r="M346" s="14">
        <v>-175000</v>
      </c>
      <c r="N346" s="13" t="s">
        <v>1125</v>
      </c>
      <c r="O346" s="179"/>
      <c r="Q346" s="194"/>
      <c r="R346" s="194"/>
    </row>
    <row r="347" spans="1:18">
      <c r="A347" t="s">
        <v>664</v>
      </c>
      <c r="B347" s="114">
        <v>12293</v>
      </c>
      <c r="C347" s="36" t="s">
        <v>172</v>
      </c>
      <c r="D347" s="114">
        <v>219755</v>
      </c>
      <c r="E347" s="78">
        <v>44299</v>
      </c>
      <c r="F347" s="9" t="s">
        <v>1057</v>
      </c>
      <c r="G347" s="209">
        <v>928855</v>
      </c>
      <c r="H347" s="114">
        <v>2300</v>
      </c>
      <c r="I347" s="15">
        <v>43694</v>
      </c>
      <c r="J347" s="15"/>
      <c r="K347" s="15">
        <v>44060</v>
      </c>
      <c r="L347" s="11">
        <v>90000</v>
      </c>
      <c r="M347" s="14">
        <f>-90000+90000</f>
        <v>0</v>
      </c>
      <c r="N347" s="13" t="s">
        <v>1785</v>
      </c>
      <c r="O347" s="179"/>
      <c r="Q347" s="194"/>
      <c r="R347" s="194"/>
    </row>
    <row r="348" spans="1:18">
      <c r="A348" t="s">
        <v>664</v>
      </c>
      <c r="B348" s="114">
        <v>12293</v>
      </c>
      <c r="C348" s="36" t="s">
        <v>172</v>
      </c>
      <c r="D348" s="114">
        <v>221203</v>
      </c>
      <c r="E348" s="78">
        <v>44306</v>
      </c>
      <c r="F348" s="199" t="s">
        <v>1730</v>
      </c>
      <c r="G348" s="209">
        <v>934858</v>
      </c>
      <c r="H348" s="114" t="s">
        <v>850</v>
      </c>
      <c r="I348" s="15"/>
      <c r="J348" s="15"/>
      <c r="K348" s="15"/>
      <c r="L348" s="11">
        <v>70500</v>
      </c>
      <c r="M348" s="14">
        <v>-70500</v>
      </c>
      <c r="N348" s="13" t="s">
        <v>1887</v>
      </c>
      <c r="O348" s="179"/>
      <c r="Q348" s="194"/>
      <c r="R348" s="194"/>
    </row>
    <row r="349" spans="1:18">
      <c r="A349" t="s">
        <v>664</v>
      </c>
      <c r="B349" s="114">
        <v>12293</v>
      </c>
      <c r="C349" s="36" t="s">
        <v>172</v>
      </c>
      <c r="D349" s="114">
        <v>221206</v>
      </c>
      <c r="E349" s="78">
        <v>44306</v>
      </c>
      <c r="F349" s="199" t="s">
        <v>1731</v>
      </c>
      <c r="G349" s="209">
        <v>934204</v>
      </c>
      <c r="H349" s="114" t="s">
        <v>618</v>
      </c>
      <c r="I349" s="15">
        <v>44256</v>
      </c>
      <c r="J349" s="15"/>
      <c r="K349" s="15">
        <v>44621</v>
      </c>
      <c r="L349" s="11">
        <v>20000</v>
      </c>
      <c r="M349" s="14">
        <f>-20000+20000</f>
        <v>0</v>
      </c>
      <c r="N349" s="13" t="s">
        <v>986</v>
      </c>
      <c r="O349" s="179"/>
      <c r="Q349" s="194"/>
      <c r="R349" s="194"/>
    </row>
    <row r="350" spans="1:18">
      <c r="A350" t="s">
        <v>664</v>
      </c>
      <c r="B350" s="114">
        <v>12293</v>
      </c>
      <c r="C350" s="36" t="s">
        <v>172</v>
      </c>
      <c r="D350" s="114">
        <v>222976</v>
      </c>
      <c r="E350" s="78">
        <v>44561</v>
      </c>
      <c r="F350" s="199" t="s">
        <v>2530</v>
      </c>
      <c r="G350" s="209"/>
      <c r="I350" s="15"/>
      <c r="J350" s="15"/>
      <c r="K350" s="15"/>
      <c r="L350" s="11">
        <v>35000</v>
      </c>
      <c r="M350" s="14">
        <v>-35000</v>
      </c>
      <c r="N350" s="13"/>
      <c r="O350" s="179"/>
      <c r="Q350" s="194"/>
      <c r="R350" s="194"/>
    </row>
    <row r="351" spans="1:18">
      <c r="A351" t="s">
        <v>664</v>
      </c>
      <c r="B351" s="114">
        <v>12293</v>
      </c>
      <c r="C351" s="36" t="s">
        <v>172</v>
      </c>
      <c r="D351" s="114">
        <v>221207</v>
      </c>
      <c r="E351" s="78">
        <v>44306</v>
      </c>
      <c r="F351" s="199" t="s">
        <v>1732</v>
      </c>
      <c r="G351" s="209">
        <v>934894</v>
      </c>
      <c r="H351" s="114" t="s">
        <v>745</v>
      </c>
      <c r="I351" s="15">
        <v>44390</v>
      </c>
      <c r="J351" s="15"/>
      <c r="K351" s="15">
        <v>45119</v>
      </c>
      <c r="L351" s="11">
        <v>100000</v>
      </c>
      <c r="M351" s="14">
        <v>-100000</v>
      </c>
      <c r="N351" s="13" t="s">
        <v>989</v>
      </c>
      <c r="O351" s="179"/>
      <c r="Q351" s="194"/>
      <c r="R351" s="194"/>
    </row>
    <row r="352" spans="1:18">
      <c r="A352" t="s">
        <v>664</v>
      </c>
      <c r="B352" s="114">
        <v>12293</v>
      </c>
      <c r="C352" s="36" t="s">
        <v>172</v>
      </c>
      <c r="D352" s="114">
        <v>220910</v>
      </c>
      <c r="E352" s="78">
        <v>44536</v>
      </c>
      <c r="F352" s="199" t="s">
        <v>1543</v>
      </c>
      <c r="G352" s="209"/>
      <c r="I352" s="15"/>
      <c r="J352" s="15"/>
      <c r="K352" s="15"/>
      <c r="L352" s="11"/>
      <c r="M352" s="14">
        <f>-44999.99+45000</f>
        <v>1.0000000002037268E-2</v>
      </c>
      <c r="N352" s="13" t="s">
        <v>774</v>
      </c>
      <c r="O352" s="179"/>
      <c r="Q352" s="194"/>
      <c r="R352" s="194"/>
    </row>
    <row r="353" spans="1:18" ht="63.75">
      <c r="A353" t="s">
        <v>664</v>
      </c>
      <c r="B353" s="114">
        <v>12294</v>
      </c>
      <c r="C353" s="36" t="s">
        <v>173</v>
      </c>
      <c r="D353" s="114">
        <v>180355</v>
      </c>
      <c r="E353" s="76">
        <v>42628</v>
      </c>
      <c r="F353" s="9" t="s">
        <v>838</v>
      </c>
      <c r="G353" s="126">
        <v>914825</v>
      </c>
      <c r="H353" s="129">
        <v>2500</v>
      </c>
      <c r="I353" s="15">
        <v>42583</v>
      </c>
      <c r="J353" s="15"/>
      <c r="K353" s="15">
        <v>42947</v>
      </c>
      <c r="L353" s="11">
        <v>180002</v>
      </c>
      <c r="M353" s="14">
        <f>-150000+75000+22501.5+7500.5+30000-7500.5-22501.5</f>
        <v>-45000</v>
      </c>
      <c r="N353" s="154" t="s">
        <v>1051</v>
      </c>
    </row>
    <row r="354" spans="1:18" ht="15" customHeight="1">
      <c r="A354" t="s">
        <v>664</v>
      </c>
      <c r="B354" s="114">
        <v>12294</v>
      </c>
      <c r="C354" s="36" t="s">
        <v>173</v>
      </c>
      <c r="D354" s="114">
        <v>186253</v>
      </c>
      <c r="E354" s="76">
        <v>42929</v>
      </c>
      <c r="F354" s="9" t="s">
        <v>615</v>
      </c>
      <c r="G354" s="126">
        <v>115966</v>
      </c>
      <c r="H354" s="129">
        <v>1097</v>
      </c>
      <c r="I354" s="15">
        <v>43252</v>
      </c>
      <c r="J354" s="15"/>
      <c r="K354" s="15">
        <v>43616</v>
      </c>
      <c r="L354" s="11">
        <v>250000</v>
      </c>
      <c r="M354" s="14">
        <v>-250000</v>
      </c>
      <c r="N354" s="13" t="s">
        <v>1043</v>
      </c>
    </row>
    <row r="355" spans="1:18" s="6" customFormat="1">
      <c r="A355" t="s">
        <v>664</v>
      </c>
      <c r="B355" s="114">
        <v>12294</v>
      </c>
      <c r="C355" s="36" t="s">
        <v>173</v>
      </c>
      <c r="D355" s="114">
        <v>198000</v>
      </c>
      <c r="E355" s="87">
        <v>43551</v>
      </c>
      <c r="F355" s="9" t="s">
        <v>1076</v>
      </c>
      <c r="G355" s="126">
        <v>920327</v>
      </c>
      <c r="H355" s="129">
        <v>2313</v>
      </c>
      <c r="I355" s="49">
        <v>43525</v>
      </c>
      <c r="J355" s="49"/>
      <c r="K355" s="15"/>
      <c r="L355" s="11">
        <v>20000</v>
      </c>
      <c r="M355" s="14">
        <v>-20000</v>
      </c>
      <c r="N355" s="13" t="s">
        <v>1068</v>
      </c>
      <c r="P355" s="191"/>
      <c r="Q355" s="191"/>
      <c r="R355" s="191"/>
    </row>
    <row r="356" spans="1:18" s="6" customFormat="1">
      <c r="A356" t="s">
        <v>664</v>
      </c>
      <c r="B356" s="114">
        <v>12294</v>
      </c>
      <c r="C356" s="36" t="s">
        <v>173</v>
      </c>
      <c r="D356" s="114">
        <v>213857</v>
      </c>
      <c r="E356" s="87">
        <v>43800</v>
      </c>
      <c r="F356" s="9" t="s">
        <v>1130</v>
      </c>
      <c r="G356" s="126">
        <v>929352</v>
      </c>
      <c r="H356" s="129">
        <v>101</v>
      </c>
      <c r="I356" s="15">
        <v>43891</v>
      </c>
      <c r="J356" s="15"/>
      <c r="K356" s="15">
        <v>44256</v>
      </c>
      <c r="L356" s="11">
        <v>707049</v>
      </c>
      <c r="M356" s="14">
        <f>-707049+353524.5+353524.5</f>
        <v>0</v>
      </c>
      <c r="N356" s="13" t="s">
        <v>986</v>
      </c>
      <c r="P356" s="191"/>
      <c r="Q356" s="191"/>
      <c r="R356" s="191"/>
    </row>
    <row r="357" spans="1:18" s="6" customFormat="1">
      <c r="A357" t="s">
        <v>664</v>
      </c>
      <c r="B357" s="114">
        <v>12294</v>
      </c>
      <c r="C357" s="36" t="s">
        <v>173</v>
      </c>
      <c r="D357" s="114">
        <v>216340</v>
      </c>
      <c r="E357" s="87">
        <v>43931</v>
      </c>
      <c r="F357" s="9" t="s">
        <v>1231</v>
      </c>
      <c r="G357" s="126">
        <v>930201</v>
      </c>
      <c r="H357" s="129">
        <v>2525</v>
      </c>
      <c r="I357" s="15">
        <v>43831</v>
      </c>
      <c r="J357" s="15"/>
      <c r="K357" s="15">
        <v>44197</v>
      </c>
      <c r="L357" s="11">
        <v>30000</v>
      </c>
      <c r="M357" s="14">
        <v>-30000</v>
      </c>
      <c r="N357" s="13" t="s">
        <v>986</v>
      </c>
      <c r="P357" s="191"/>
      <c r="Q357" s="191"/>
      <c r="R357" s="191"/>
    </row>
    <row r="358" spans="1:18" s="6" customFormat="1">
      <c r="A358" t="s">
        <v>664</v>
      </c>
      <c r="B358" s="114">
        <v>12294</v>
      </c>
      <c r="C358" s="36" t="s">
        <v>173</v>
      </c>
      <c r="D358" s="114">
        <v>219749</v>
      </c>
      <c r="E358" s="87">
        <v>44075</v>
      </c>
      <c r="F358" s="9" t="s">
        <v>0</v>
      </c>
      <c r="G358" s="126">
        <v>931606</v>
      </c>
      <c r="H358" s="129">
        <v>2520</v>
      </c>
      <c r="I358" s="15"/>
      <c r="J358" s="15"/>
      <c r="K358" s="15"/>
      <c r="L358" s="11">
        <v>223695</v>
      </c>
      <c r="M358" s="14">
        <f>-223695+223695</f>
        <v>0</v>
      </c>
      <c r="N358" s="13"/>
      <c r="P358" s="191"/>
      <c r="Q358" s="191"/>
      <c r="R358" s="191"/>
    </row>
    <row r="359" spans="1:18" s="6" customFormat="1">
      <c r="A359" s="5" t="s">
        <v>664</v>
      </c>
      <c r="B359" s="116">
        <v>12294</v>
      </c>
      <c r="C359" s="58" t="s">
        <v>173</v>
      </c>
      <c r="D359" s="116">
        <v>220089</v>
      </c>
      <c r="E359" s="87"/>
      <c r="F359" s="6" t="s">
        <v>1352</v>
      </c>
      <c r="G359" s="130">
        <v>931103</v>
      </c>
      <c r="H359" s="129"/>
      <c r="I359" s="15"/>
      <c r="J359" s="15"/>
      <c r="K359" s="15"/>
      <c r="L359" s="14"/>
      <c r="M359" s="14">
        <f>35000-35000</f>
        <v>0</v>
      </c>
      <c r="N359" s="52"/>
      <c r="P359" s="191"/>
      <c r="Q359" s="191"/>
      <c r="R359" s="191"/>
    </row>
    <row r="360" spans="1:18" s="6" customFormat="1">
      <c r="A360" t="s">
        <v>664</v>
      </c>
      <c r="B360" s="114">
        <v>12294</v>
      </c>
      <c r="C360" s="36" t="s">
        <v>173</v>
      </c>
      <c r="D360" s="114">
        <v>220587</v>
      </c>
      <c r="E360" s="87"/>
      <c r="F360" s="9" t="s">
        <v>1349</v>
      </c>
      <c r="G360" s="126">
        <v>931630</v>
      </c>
      <c r="H360" s="129">
        <v>2425</v>
      </c>
      <c r="I360" s="15"/>
      <c r="J360" s="15"/>
      <c r="K360" s="15"/>
      <c r="L360" s="11">
        <v>90000</v>
      </c>
      <c r="M360" s="14">
        <f>-90000+45000+45000</f>
        <v>0</v>
      </c>
      <c r="N360" s="13"/>
      <c r="P360" s="191"/>
      <c r="Q360" s="191"/>
      <c r="R360" s="191"/>
    </row>
    <row r="361" spans="1:18" s="6" customFormat="1" ht="13.5" customHeight="1">
      <c r="A361" t="s">
        <v>664</v>
      </c>
      <c r="B361" s="116">
        <v>12294</v>
      </c>
      <c r="C361" s="58" t="s">
        <v>173</v>
      </c>
      <c r="D361" s="116">
        <v>211730</v>
      </c>
      <c r="E361" s="87">
        <v>44136</v>
      </c>
      <c r="F361" s="6" t="s">
        <v>1287</v>
      </c>
      <c r="G361" s="130">
        <v>928748</v>
      </c>
      <c r="H361" s="129"/>
      <c r="I361" s="15"/>
      <c r="J361" s="15"/>
      <c r="K361" s="15"/>
      <c r="L361" s="14">
        <v>419625</v>
      </c>
      <c r="M361" s="14">
        <f>209812.5-209812.5+209812.5-419625</f>
        <v>-209812.5</v>
      </c>
      <c r="N361" s="13"/>
      <c r="O361" s="189"/>
      <c r="P361" s="191"/>
      <c r="Q361" s="194"/>
      <c r="R361" s="194"/>
    </row>
    <row r="362" spans="1:18" s="6" customFormat="1" ht="14.1" customHeight="1">
      <c r="A362" s="5" t="s">
        <v>664</v>
      </c>
      <c r="B362" s="116">
        <v>12294</v>
      </c>
      <c r="C362" s="58" t="s">
        <v>173</v>
      </c>
      <c r="D362" s="116"/>
      <c r="E362" s="87"/>
      <c r="F362" s="6" t="s">
        <v>803</v>
      </c>
      <c r="G362" s="130"/>
      <c r="H362" s="129"/>
      <c r="I362" s="15"/>
      <c r="J362" s="15"/>
      <c r="K362" s="15"/>
      <c r="L362" s="14"/>
      <c r="M362" s="14">
        <f>-175000+175000</f>
        <v>0</v>
      </c>
      <c r="N362" s="13"/>
      <c r="O362" s="189"/>
      <c r="P362" s="191"/>
      <c r="Q362" s="194"/>
      <c r="R362" s="194"/>
    </row>
    <row r="363" spans="1:18" s="6" customFormat="1" ht="14.1" customHeight="1">
      <c r="A363" s="5" t="s">
        <v>664</v>
      </c>
      <c r="B363" s="116">
        <v>12294</v>
      </c>
      <c r="C363" s="58" t="s">
        <v>173</v>
      </c>
      <c r="D363" s="116">
        <v>220906</v>
      </c>
      <c r="E363" s="87">
        <v>44257</v>
      </c>
      <c r="F363" s="6" t="s">
        <v>630</v>
      </c>
      <c r="G363" s="130">
        <v>931363</v>
      </c>
      <c r="H363" s="129"/>
      <c r="I363" s="15"/>
      <c r="J363" s="15"/>
      <c r="K363" s="15"/>
      <c r="L363" s="14"/>
      <c r="M363" s="14">
        <f>15000-15000</f>
        <v>0</v>
      </c>
      <c r="N363" s="52"/>
      <c r="O363" s="189"/>
      <c r="P363" s="191"/>
      <c r="Q363" s="194"/>
      <c r="R363" s="194"/>
    </row>
    <row r="364" spans="1:18" s="6" customFormat="1" ht="14.1" customHeight="1">
      <c r="A364" s="5" t="s">
        <v>664</v>
      </c>
      <c r="B364" s="116">
        <v>12294</v>
      </c>
      <c r="C364" s="58" t="s">
        <v>173</v>
      </c>
      <c r="D364" s="116">
        <v>221879</v>
      </c>
      <c r="E364" s="87">
        <v>44561</v>
      </c>
      <c r="F364" s="199" t="s">
        <v>2532</v>
      </c>
      <c r="G364" s="130"/>
      <c r="H364" s="129"/>
      <c r="I364" s="15"/>
      <c r="J364" s="15"/>
      <c r="K364" s="15"/>
      <c r="L364" s="14"/>
      <c r="M364" s="187">
        <v>-150000</v>
      </c>
      <c r="N364" s="52"/>
      <c r="O364" s="189"/>
      <c r="P364" s="191"/>
      <c r="Q364" s="194"/>
      <c r="R364" s="194"/>
    </row>
    <row r="365" spans="1:18" s="6" customFormat="1" ht="14.1" customHeight="1">
      <c r="A365" s="5" t="s">
        <v>664</v>
      </c>
      <c r="B365" s="116">
        <v>12294</v>
      </c>
      <c r="C365" s="58" t="s">
        <v>173</v>
      </c>
      <c r="D365" s="116">
        <v>221902</v>
      </c>
      <c r="E365" s="87"/>
      <c r="F365" s="6" t="s">
        <v>18</v>
      </c>
      <c r="G365" s="130">
        <v>935590</v>
      </c>
      <c r="H365" s="129"/>
      <c r="I365" s="15"/>
      <c r="J365" s="15"/>
      <c r="K365" s="15"/>
      <c r="L365" s="14"/>
      <c r="M365" s="14">
        <f>-70000+70000</f>
        <v>0</v>
      </c>
      <c r="N365" s="52"/>
      <c r="O365" s="189"/>
      <c r="P365" s="191"/>
      <c r="Q365" s="194"/>
      <c r="R365" s="194"/>
    </row>
    <row r="366" spans="1:18" s="6" customFormat="1" ht="14.1" customHeight="1">
      <c r="A366" s="5" t="s">
        <v>664</v>
      </c>
      <c r="B366" s="116">
        <v>12295</v>
      </c>
      <c r="C366" s="58" t="s">
        <v>174</v>
      </c>
      <c r="D366" s="116">
        <v>221901</v>
      </c>
      <c r="E366" s="87">
        <v>44378</v>
      </c>
      <c r="F366" s="6" t="s">
        <v>2106</v>
      </c>
      <c r="G366" s="130"/>
      <c r="H366" s="129"/>
      <c r="I366" s="15"/>
      <c r="J366" s="15"/>
      <c r="K366" s="15"/>
      <c r="L366" s="14">
        <v>67904</v>
      </c>
      <c r="M366" s="14">
        <f>-L366</f>
        <v>-67904</v>
      </c>
      <c r="N366" s="52"/>
      <c r="O366" s="189"/>
      <c r="P366" s="191"/>
      <c r="Q366" s="194"/>
      <c r="R366" s="194"/>
    </row>
    <row r="367" spans="1:18" s="6" customFormat="1" ht="14.1" customHeight="1">
      <c r="A367" s="5" t="s">
        <v>664</v>
      </c>
      <c r="B367" s="116">
        <v>12296</v>
      </c>
      <c r="C367" s="58" t="s">
        <v>175</v>
      </c>
      <c r="D367" s="116"/>
      <c r="E367" s="87">
        <v>44469</v>
      </c>
      <c r="F367" s="6" t="s">
        <v>803</v>
      </c>
      <c r="G367" s="130"/>
      <c r="H367" s="129"/>
      <c r="I367" s="15"/>
      <c r="J367" s="15"/>
      <c r="K367" s="15"/>
      <c r="L367" s="14">
        <v>175000</v>
      </c>
      <c r="M367" s="14">
        <f>-175000+112430</f>
        <v>-62570</v>
      </c>
      <c r="N367" s="52"/>
      <c r="O367" s="189"/>
      <c r="P367" s="191"/>
      <c r="Q367" s="194"/>
      <c r="R367" s="194"/>
    </row>
    <row r="368" spans="1:18" ht="38.25">
      <c r="A368" t="s">
        <v>664</v>
      </c>
      <c r="B368" s="114">
        <v>12297</v>
      </c>
      <c r="C368" s="36" t="s">
        <v>176</v>
      </c>
      <c r="D368" s="114">
        <v>131055</v>
      </c>
      <c r="E368" s="77">
        <v>42094</v>
      </c>
      <c r="F368" t="s">
        <v>733</v>
      </c>
      <c r="G368" s="126">
        <v>111934</v>
      </c>
      <c r="H368" s="129" t="s">
        <v>708</v>
      </c>
      <c r="I368" s="66">
        <v>41703</v>
      </c>
      <c r="J368" s="66"/>
      <c r="K368" s="26">
        <v>45688</v>
      </c>
      <c r="L368" s="11">
        <v>5000</v>
      </c>
      <c r="M368" s="14">
        <v>-5000</v>
      </c>
      <c r="N368" s="50" t="s">
        <v>992</v>
      </c>
      <c r="Q368" s="194"/>
      <c r="R368" s="194"/>
    </row>
    <row r="369" spans="1:18">
      <c r="A369" t="s">
        <v>664</v>
      </c>
      <c r="B369" s="114">
        <v>12297</v>
      </c>
      <c r="C369" s="36" t="s">
        <v>176</v>
      </c>
      <c r="D369" s="114">
        <v>193232</v>
      </c>
      <c r="E369" s="77">
        <v>43281</v>
      </c>
      <c r="F369" s="9" t="s">
        <v>1027</v>
      </c>
      <c r="G369" s="126">
        <v>923585</v>
      </c>
      <c r="H369" s="129" t="s">
        <v>864</v>
      </c>
      <c r="I369" s="66">
        <v>43238</v>
      </c>
      <c r="J369" s="66"/>
      <c r="K369" s="26">
        <v>43602</v>
      </c>
      <c r="L369" s="11">
        <v>123300</v>
      </c>
      <c r="M369" s="14">
        <f>-123300+114300</f>
        <v>-9000</v>
      </c>
      <c r="N369" s="13" t="s">
        <v>986</v>
      </c>
      <c r="Q369" s="194"/>
      <c r="R369" s="194"/>
    </row>
    <row r="370" spans="1:18">
      <c r="A370" t="s">
        <v>664</v>
      </c>
      <c r="B370" s="114">
        <v>12297</v>
      </c>
      <c r="C370" s="36" t="s">
        <v>176</v>
      </c>
      <c r="D370" s="114">
        <v>193682</v>
      </c>
      <c r="E370" s="77">
        <v>43308</v>
      </c>
      <c r="F370" s="9" t="s">
        <v>1031</v>
      </c>
      <c r="G370" s="126">
        <v>50800</v>
      </c>
      <c r="H370" s="129" t="s">
        <v>895</v>
      </c>
      <c r="I370" s="66">
        <v>43132</v>
      </c>
      <c r="J370" s="66"/>
      <c r="K370" s="26">
        <v>43496</v>
      </c>
      <c r="L370" s="11">
        <v>60000</v>
      </c>
      <c r="M370" s="14">
        <v>-60000</v>
      </c>
      <c r="N370" s="13" t="s">
        <v>986</v>
      </c>
      <c r="Q370" s="194"/>
      <c r="R370" s="194"/>
    </row>
    <row r="371" spans="1:18">
      <c r="A371" t="s">
        <v>664</v>
      </c>
      <c r="B371" s="114">
        <v>12297</v>
      </c>
      <c r="C371" s="36" t="s">
        <v>176</v>
      </c>
      <c r="D371" s="114">
        <v>194970</v>
      </c>
      <c r="E371" s="77">
        <v>43347</v>
      </c>
      <c r="F371" s="9" t="s">
        <v>641</v>
      </c>
      <c r="G371" s="126">
        <v>250114</v>
      </c>
      <c r="H371" s="129" t="s">
        <v>881</v>
      </c>
      <c r="I371" s="66">
        <v>42989</v>
      </c>
      <c r="J371" s="66"/>
      <c r="K371" s="26">
        <v>44773</v>
      </c>
      <c r="L371" s="11">
        <v>8200</v>
      </c>
      <c r="M371" s="14">
        <f>-8200+3200+3486.33</f>
        <v>-1513.67</v>
      </c>
      <c r="N371" s="13" t="s">
        <v>970</v>
      </c>
      <c r="Q371" s="194"/>
      <c r="R371" s="194"/>
    </row>
    <row r="372" spans="1:18">
      <c r="A372" t="s">
        <v>664</v>
      </c>
      <c r="B372" s="114">
        <v>12297</v>
      </c>
      <c r="C372" s="36" t="s">
        <v>176</v>
      </c>
      <c r="D372" s="114">
        <v>196439</v>
      </c>
      <c r="E372" s="77">
        <v>43424</v>
      </c>
      <c r="F372" s="9" t="s">
        <v>623</v>
      </c>
      <c r="G372" s="126">
        <v>926028</v>
      </c>
      <c r="H372" s="129" t="s">
        <v>1054</v>
      </c>
      <c r="I372" s="66">
        <v>43419</v>
      </c>
      <c r="J372" s="66"/>
      <c r="K372" s="26">
        <v>44149</v>
      </c>
      <c r="L372" s="11">
        <v>90000</v>
      </c>
      <c r="M372" s="14">
        <f>-90000+90000</f>
        <v>0</v>
      </c>
      <c r="N372" s="13" t="s">
        <v>989</v>
      </c>
      <c r="Q372" s="194"/>
      <c r="R372" s="194"/>
    </row>
    <row r="373" spans="1:18">
      <c r="A373" t="s">
        <v>664</v>
      </c>
      <c r="B373" s="114">
        <v>12297</v>
      </c>
      <c r="C373" s="36" t="s">
        <v>176</v>
      </c>
      <c r="D373" s="114">
        <v>197386</v>
      </c>
      <c r="E373" s="77">
        <v>43496</v>
      </c>
      <c r="F373" s="9" t="s">
        <v>1063</v>
      </c>
      <c r="G373" s="126">
        <v>926560</v>
      </c>
      <c r="H373" s="129" t="s">
        <v>865</v>
      </c>
      <c r="I373" s="66">
        <v>43679</v>
      </c>
      <c r="J373" s="66"/>
      <c r="K373" s="26">
        <v>44044</v>
      </c>
      <c r="L373" s="11">
        <v>128850</v>
      </c>
      <c r="M373" s="14">
        <f>-128850+74500+12500+25365</f>
        <v>-16485</v>
      </c>
      <c r="N373" s="13" t="s">
        <v>986</v>
      </c>
    </row>
    <row r="374" spans="1:18">
      <c r="A374" t="s">
        <v>664</v>
      </c>
      <c r="B374" s="114">
        <v>12297</v>
      </c>
      <c r="C374" s="36" t="s">
        <v>176</v>
      </c>
      <c r="D374" s="114">
        <v>212163</v>
      </c>
      <c r="E374" s="77">
        <v>43686</v>
      </c>
      <c r="F374" s="9" t="s">
        <v>621</v>
      </c>
      <c r="G374" s="126">
        <v>928033</v>
      </c>
      <c r="H374" s="129" t="s">
        <v>867</v>
      </c>
      <c r="I374" s="66">
        <v>43617</v>
      </c>
      <c r="J374" s="66"/>
      <c r="K374" s="26"/>
      <c r="L374" s="11">
        <v>31325</v>
      </c>
      <c r="M374" s="14">
        <v>-31325</v>
      </c>
      <c r="N374" s="13" t="s">
        <v>986</v>
      </c>
    </row>
    <row r="375" spans="1:18" ht="12" customHeight="1">
      <c r="A375" t="s">
        <v>664</v>
      </c>
      <c r="B375" s="114">
        <v>12297</v>
      </c>
      <c r="C375" s="36" t="s">
        <v>176</v>
      </c>
      <c r="D375" s="114">
        <v>214029</v>
      </c>
      <c r="E375" s="77">
        <v>43844</v>
      </c>
      <c r="F375" s="9" t="s">
        <v>891</v>
      </c>
      <c r="G375" s="126">
        <v>926098</v>
      </c>
      <c r="H375" s="129" t="s">
        <v>1160</v>
      </c>
      <c r="I375" s="66">
        <v>43600</v>
      </c>
      <c r="J375" s="66"/>
      <c r="K375" s="15">
        <v>43966</v>
      </c>
      <c r="L375" s="11">
        <v>425630.4</v>
      </c>
      <c r="M375" s="14">
        <f>-425630.4+380148.47</f>
        <v>-45481.930000000051</v>
      </c>
      <c r="N375" s="13" t="s">
        <v>986</v>
      </c>
    </row>
    <row r="376" spans="1:18" ht="12" customHeight="1">
      <c r="A376" t="s">
        <v>664</v>
      </c>
      <c r="B376" s="114">
        <v>12297</v>
      </c>
      <c r="C376" s="36" t="s">
        <v>176</v>
      </c>
      <c r="D376" s="114">
        <v>214845</v>
      </c>
      <c r="E376" s="77">
        <v>43847</v>
      </c>
      <c r="F376" s="9" t="s">
        <v>659</v>
      </c>
      <c r="G376" s="126">
        <v>928251</v>
      </c>
      <c r="H376" s="129">
        <v>9246</v>
      </c>
      <c r="I376" s="66">
        <v>43709</v>
      </c>
      <c r="J376" s="66"/>
      <c r="K376" s="15">
        <v>45565</v>
      </c>
      <c r="L376" s="11">
        <v>20000</v>
      </c>
      <c r="M376" s="14">
        <v>-20000</v>
      </c>
      <c r="N376" s="13" t="s">
        <v>986</v>
      </c>
    </row>
    <row r="377" spans="1:18" ht="12" customHeight="1">
      <c r="A377" t="s">
        <v>664</v>
      </c>
      <c r="B377" s="114">
        <v>12297</v>
      </c>
      <c r="C377" s="36" t="s">
        <v>176</v>
      </c>
      <c r="D377" s="114">
        <v>219103</v>
      </c>
      <c r="E377" s="77">
        <v>44021</v>
      </c>
      <c r="F377" s="9" t="s">
        <v>1254</v>
      </c>
      <c r="G377" s="126">
        <v>929235</v>
      </c>
      <c r="H377" s="129" t="s">
        <v>897</v>
      </c>
      <c r="I377" s="49">
        <v>43983</v>
      </c>
      <c r="J377" s="49"/>
      <c r="K377" s="15"/>
      <c r="L377" s="11">
        <v>162000</v>
      </c>
      <c r="M377" s="14">
        <v>-162000</v>
      </c>
      <c r="N377" s="13" t="s">
        <v>1255</v>
      </c>
    </row>
    <row r="378" spans="1:18" ht="12" customHeight="1">
      <c r="A378" t="s">
        <v>664</v>
      </c>
      <c r="B378" s="114">
        <v>12297</v>
      </c>
      <c r="C378" s="36" t="s">
        <v>176</v>
      </c>
      <c r="D378" s="114">
        <v>219104</v>
      </c>
      <c r="E378" s="77">
        <v>44021</v>
      </c>
      <c r="F378" s="9" t="s">
        <v>1256</v>
      </c>
      <c r="G378" s="126">
        <v>930527</v>
      </c>
      <c r="H378" s="129" t="s">
        <v>899</v>
      </c>
      <c r="I378" s="49">
        <v>43862</v>
      </c>
      <c r="J378" s="49"/>
      <c r="K378" s="15"/>
      <c r="L378" s="11">
        <v>100000</v>
      </c>
      <c r="M378" s="14">
        <v>-100000</v>
      </c>
      <c r="N378" s="13" t="s">
        <v>1113</v>
      </c>
    </row>
    <row r="379" spans="1:18" ht="12" customHeight="1">
      <c r="A379" s="5" t="s">
        <v>664</v>
      </c>
      <c r="B379" s="116">
        <v>12297</v>
      </c>
      <c r="C379" s="58" t="s">
        <v>176</v>
      </c>
      <c r="D379" s="116">
        <v>219106</v>
      </c>
      <c r="E379" s="77">
        <v>44022</v>
      </c>
      <c r="F379" s="6" t="s">
        <v>1257</v>
      </c>
      <c r="G379" s="130">
        <v>931038</v>
      </c>
      <c r="H379" s="129">
        <v>9103</v>
      </c>
      <c r="I379" s="49">
        <v>43952</v>
      </c>
      <c r="J379" s="49"/>
      <c r="K379" s="15"/>
      <c r="L379" s="14">
        <v>15000</v>
      </c>
      <c r="M379" s="14">
        <v>-15000</v>
      </c>
      <c r="N379" s="13" t="s">
        <v>1113</v>
      </c>
    </row>
    <row r="380" spans="1:18" ht="12" customHeight="1">
      <c r="A380" t="s">
        <v>664</v>
      </c>
      <c r="B380" s="114">
        <v>12297</v>
      </c>
      <c r="C380" s="36" t="s">
        <v>176</v>
      </c>
      <c r="D380" s="114">
        <v>219107</v>
      </c>
      <c r="E380" s="77">
        <v>44022</v>
      </c>
      <c r="F380" s="9" t="s">
        <v>1258</v>
      </c>
      <c r="G380" s="126">
        <v>929959</v>
      </c>
      <c r="H380" s="129" t="s">
        <v>898</v>
      </c>
      <c r="I380" s="66">
        <v>43770</v>
      </c>
      <c r="J380" s="66"/>
      <c r="K380" s="15">
        <v>44136</v>
      </c>
      <c r="L380" s="11">
        <v>45000</v>
      </c>
      <c r="M380" s="14">
        <v>-45000</v>
      </c>
      <c r="N380" s="13" t="s">
        <v>986</v>
      </c>
    </row>
    <row r="381" spans="1:18" ht="12" customHeight="1">
      <c r="A381" t="s">
        <v>664</v>
      </c>
      <c r="B381" s="114">
        <v>12297</v>
      </c>
      <c r="C381" s="36" t="s">
        <v>176</v>
      </c>
      <c r="D381" s="114">
        <v>219108</v>
      </c>
      <c r="E381" s="77">
        <v>44022</v>
      </c>
      <c r="F381" s="9" t="s">
        <v>36</v>
      </c>
      <c r="G381" s="126">
        <v>56151</v>
      </c>
      <c r="H381" s="129" t="s">
        <v>896</v>
      </c>
      <c r="I381" s="49">
        <v>44136</v>
      </c>
      <c r="J381" s="49"/>
      <c r="K381" s="15"/>
      <c r="L381" s="11">
        <v>722848.5</v>
      </c>
      <c r="M381" s="14">
        <v>-722848.5</v>
      </c>
      <c r="N381" s="13" t="s">
        <v>1113</v>
      </c>
      <c r="Q381" s="196"/>
      <c r="R381" s="196"/>
    </row>
    <row r="382" spans="1:18" ht="12" customHeight="1">
      <c r="A382" t="s">
        <v>664</v>
      </c>
      <c r="B382" s="114">
        <v>12297</v>
      </c>
      <c r="C382" s="36" t="s">
        <v>176</v>
      </c>
      <c r="D382" s="114">
        <v>219118</v>
      </c>
      <c r="E382" s="77">
        <v>44025</v>
      </c>
      <c r="F382" s="9" t="s">
        <v>1259</v>
      </c>
      <c r="G382" s="126">
        <v>111727</v>
      </c>
      <c r="H382" s="129" t="s">
        <v>880</v>
      </c>
      <c r="I382" s="49">
        <v>44013</v>
      </c>
      <c r="J382" s="49"/>
      <c r="K382" s="15"/>
      <c r="L382" s="11">
        <v>90000</v>
      </c>
      <c r="M382" s="14">
        <v>-90000</v>
      </c>
      <c r="N382" s="13" t="s">
        <v>1113</v>
      </c>
      <c r="Q382" s="196"/>
      <c r="R382" s="196"/>
    </row>
    <row r="383" spans="1:18" ht="12" customHeight="1">
      <c r="A383" t="s">
        <v>664</v>
      </c>
      <c r="B383" s="114">
        <v>12297</v>
      </c>
      <c r="C383" s="36" t="s">
        <v>176</v>
      </c>
      <c r="D383" s="114">
        <v>219114</v>
      </c>
      <c r="E383" s="77">
        <v>44022</v>
      </c>
      <c r="F383" s="9" t="s">
        <v>1260</v>
      </c>
      <c r="G383" s="126">
        <v>929367</v>
      </c>
      <c r="H383" s="129" t="s">
        <v>868</v>
      </c>
      <c r="I383" s="49">
        <v>43862</v>
      </c>
      <c r="J383" s="49"/>
      <c r="K383" s="15"/>
      <c r="L383" s="11">
        <v>50000</v>
      </c>
      <c r="M383" s="14">
        <v>-50000</v>
      </c>
      <c r="N383" s="13" t="s">
        <v>1113</v>
      </c>
    </row>
    <row r="384" spans="1:18" ht="12" customHeight="1">
      <c r="A384" t="s">
        <v>664</v>
      </c>
      <c r="B384" s="114">
        <v>12297</v>
      </c>
      <c r="C384" s="36" t="s">
        <v>176</v>
      </c>
      <c r="D384" s="114">
        <v>219125</v>
      </c>
      <c r="E384" s="77">
        <v>44013</v>
      </c>
      <c r="F384" s="9" t="s">
        <v>603</v>
      </c>
      <c r="G384" s="126">
        <v>901843</v>
      </c>
      <c r="H384" s="129" t="s">
        <v>696</v>
      </c>
      <c r="I384" s="49"/>
      <c r="J384" s="49"/>
      <c r="K384" s="15"/>
      <c r="L384" s="11">
        <v>212820</v>
      </c>
      <c r="M384" s="14">
        <v>-212820</v>
      </c>
      <c r="N384" s="13"/>
    </row>
    <row r="385" spans="1:18" ht="12" customHeight="1">
      <c r="A385" t="s">
        <v>664</v>
      </c>
      <c r="B385" s="114">
        <v>12297</v>
      </c>
      <c r="C385" s="36" t="s">
        <v>176</v>
      </c>
      <c r="D385" s="114">
        <v>219119</v>
      </c>
      <c r="E385" s="77">
        <v>44042</v>
      </c>
      <c r="F385" s="9" t="s">
        <v>1284</v>
      </c>
      <c r="G385" s="126">
        <v>931824</v>
      </c>
      <c r="H385" s="129" t="s">
        <v>866</v>
      </c>
      <c r="I385" s="49">
        <v>44025</v>
      </c>
      <c r="J385" s="49"/>
      <c r="K385" s="15"/>
      <c r="L385" s="11">
        <v>100000</v>
      </c>
      <c r="M385" s="14">
        <v>-100000</v>
      </c>
      <c r="N385" s="13"/>
    </row>
    <row r="386" spans="1:18" ht="12" customHeight="1">
      <c r="A386" s="5" t="s">
        <v>664</v>
      </c>
      <c r="B386" s="116">
        <v>12297</v>
      </c>
      <c r="C386" s="58" t="s">
        <v>176</v>
      </c>
      <c r="D386" s="114">
        <v>222679</v>
      </c>
      <c r="E386" s="77">
        <v>44500</v>
      </c>
      <c r="F386" s="6" t="s">
        <v>2471</v>
      </c>
      <c r="G386" s="130">
        <v>934724</v>
      </c>
      <c r="H386" s="129"/>
      <c r="I386" s="66"/>
      <c r="J386" s="66"/>
      <c r="K386" s="15"/>
      <c r="L386" s="14">
        <v>528425.5</v>
      </c>
      <c r="M386" s="216">
        <f>-528425.5+54000</f>
        <v>-474425.5</v>
      </c>
      <c r="N386" s="13"/>
    </row>
    <row r="387" spans="1:18" ht="12" customHeight="1">
      <c r="A387" s="5" t="s">
        <v>664</v>
      </c>
      <c r="B387" s="116">
        <v>12297</v>
      </c>
      <c r="C387" s="58" t="s">
        <v>176</v>
      </c>
      <c r="D387" s="114">
        <v>222682</v>
      </c>
      <c r="E387" s="77">
        <v>44500</v>
      </c>
      <c r="F387" s="6" t="s">
        <v>710</v>
      </c>
      <c r="G387" s="130">
        <v>936167</v>
      </c>
      <c r="H387" s="129"/>
      <c r="I387" s="66"/>
      <c r="J387" s="66"/>
      <c r="K387" s="15"/>
      <c r="L387" s="14">
        <v>540000</v>
      </c>
      <c r="M387" s="216">
        <f>-540000+486000</f>
        <v>-54000</v>
      </c>
      <c r="N387" s="13"/>
    </row>
    <row r="388" spans="1:18" ht="12" customHeight="1">
      <c r="A388" s="5" t="s">
        <v>664</v>
      </c>
      <c r="B388" s="116">
        <v>12297</v>
      </c>
      <c r="C388" s="58" t="s">
        <v>176</v>
      </c>
      <c r="D388" s="114">
        <v>222685</v>
      </c>
      <c r="E388" s="77">
        <v>44500</v>
      </c>
      <c r="F388" s="6" t="s">
        <v>2472</v>
      </c>
      <c r="G388" s="130">
        <v>933858</v>
      </c>
      <c r="H388" s="129"/>
      <c r="I388" s="66"/>
      <c r="J388" s="66"/>
      <c r="K388" s="15"/>
      <c r="L388" s="14">
        <v>88270</v>
      </c>
      <c r="M388" s="216">
        <v>-88270</v>
      </c>
      <c r="N388" s="13"/>
    </row>
    <row r="389" spans="1:18" ht="12" customHeight="1">
      <c r="A389" t="s">
        <v>664</v>
      </c>
      <c r="B389" s="114">
        <v>12297</v>
      </c>
      <c r="C389" s="36" t="s">
        <v>176</v>
      </c>
      <c r="D389" s="114">
        <v>222795</v>
      </c>
      <c r="E389" s="77">
        <v>44530</v>
      </c>
      <c r="F389" s="199" t="s">
        <v>709</v>
      </c>
      <c r="G389" s="130"/>
      <c r="H389" s="129"/>
      <c r="I389" s="66"/>
      <c r="J389" s="66"/>
      <c r="K389" s="15"/>
      <c r="L389" s="14"/>
      <c r="M389" s="96">
        <v>-350000</v>
      </c>
      <c r="N389" s="13"/>
    </row>
    <row r="390" spans="1:18" ht="12" customHeight="1">
      <c r="A390" s="5" t="s">
        <v>664</v>
      </c>
      <c r="B390" s="116">
        <v>12297</v>
      </c>
      <c r="C390" s="58" t="s">
        <v>176</v>
      </c>
      <c r="D390" s="114">
        <v>222796</v>
      </c>
      <c r="E390" s="77">
        <v>44530</v>
      </c>
      <c r="F390" s="199" t="s">
        <v>2510</v>
      </c>
      <c r="G390" s="130"/>
      <c r="H390" s="129"/>
      <c r="I390" s="66"/>
      <c r="J390" s="66"/>
      <c r="K390" s="15"/>
      <c r="L390" s="14"/>
      <c r="M390" s="96">
        <v>-165000</v>
      </c>
      <c r="N390" s="13"/>
    </row>
    <row r="391" spans="1:18" ht="12" customHeight="1">
      <c r="A391" s="5" t="s">
        <v>664</v>
      </c>
      <c r="B391" s="116">
        <v>12297</v>
      </c>
      <c r="C391" s="58" t="s">
        <v>176</v>
      </c>
      <c r="D391" s="114">
        <v>222799</v>
      </c>
      <c r="E391" s="77">
        <v>44530</v>
      </c>
      <c r="F391" s="199" t="s">
        <v>2511</v>
      </c>
      <c r="G391" s="130"/>
      <c r="H391" s="129"/>
      <c r="I391" s="66"/>
      <c r="J391" s="66"/>
      <c r="K391" s="15"/>
      <c r="L391" s="14"/>
      <c r="M391" s="96">
        <v>-30000</v>
      </c>
      <c r="N391" s="13"/>
    </row>
    <row r="392" spans="1:18" ht="12" customHeight="1">
      <c r="A392" s="5" t="s">
        <v>664</v>
      </c>
      <c r="B392" s="116">
        <v>12297</v>
      </c>
      <c r="C392" s="58" t="s">
        <v>176</v>
      </c>
      <c r="D392" s="114">
        <v>223071</v>
      </c>
      <c r="E392" s="77">
        <v>44561</v>
      </c>
      <c r="F392" s="199" t="s">
        <v>2533</v>
      </c>
      <c r="G392" s="130"/>
      <c r="H392" s="129"/>
      <c r="I392" s="66"/>
      <c r="J392" s="66"/>
      <c r="K392" s="15"/>
      <c r="L392" s="14"/>
      <c r="M392" s="96">
        <v>-75000</v>
      </c>
      <c r="N392" s="13"/>
    </row>
    <row r="393" spans="1:18" ht="12" customHeight="1">
      <c r="A393" s="5" t="s">
        <v>664</v>
      </c>
      <c r="B393" s="116">
        <v>12297</v>
      </c>
      <c r="C393" s="58" t="s">
        <v>176</v>
      </c>
      <c r="D393" s="152">
        <v>223075</v>
      </c>
      <c r="E393" s="77">
        <v>44582</v>
      </c>
      <c r="F393" s="199" t="s">
        <v>2993</v>
      </c>
      <c r="G393" s="130">
        <v>937119</v>
      </c>
      <c r="H393" s="129"/>
      <c r="I393" s="66"/>
      <c r="J393" s="66"/>
      <c r="K393" s="15"/>
      <c r="L393" s="14"/>
      <c r="M393" s="96">
        <f>100000-100000</f>
        <v>0</v>
      </c>
      <c r="N393" s="13"/>
    </row>
    <row r="394" spans="1:18" ht="12" customHeight="1">
      <c r="A394" s="5" t="s">
        <v>664</v>
      </c>
      <c r="B394" s="116">
        <v>12297</v>
      </c>
      <c r="C394" s="58" t="s">
        <v>176</v>
      </c>
      <c r="D394" s="152">
        <v>223102</v>
      </c>
      <c r="E394" s="77">
        <v>44592</v>
      </c>
      <c r="F394" s="199" t="s">
        <v>2994</v>
      </c>
      <c r="G394" s="130">
        <v>934146</v>
      </c>
      <c r="H394" s="129"/>
      <c r="I394" s="66"/>
      <c r="J394" s="66"/>
      <c r="K394" s="15"/>
      <c r="L394" s="14"/>
      <c r="M394" s="96">
        <v>-825000</v>
      </c>
      <c r="N394" s="13"/>
    </row>
    <row r="395" spans="1:18" ht="12" customHeight="1">
      <c r="A395" s="5" t="s">
        <v>664</v>
      </c>
      <c r="B395" s="116">
        <v>12297</v>
      </c>
      <c r="C395" s="58" t="s">
        <v>176</v>
      </c>
      <c r="D395" s="152">
        <v>223130</v>
      </c>
      <c r="E395" s="77">
        <v>44592</v>
      </c>
      <c r="F395" s="199" t="s">
        <v>2995</v>
      </c>
      <c r="G395" s="130">
        <v>937240</v>
      </c>
      <c r="H395" s="129">
        <v>1510</v>
      </c>
      <c r="I395" s="66"/>
      <c r="J395" s="66"/>
      <c r="K395" s="15"/>
      <c r="L395" s="14"/>
      <c r="M395" s="96">
        <v>-857828</v>
      </c>
      <c r="N395" s="13"/>
    </row>
    <row r="396" spans="1:18" ht="12" customHeight="1">
      <c r="A396" s="5" t="s">
        <v>664</v>
      </c>
      <c r="B396" s="116">
        <v>12297</v>
      </c>
      <c r="C396" s="58" t="s">
        <v>176</v>
      </c>
      <c r="D396" s="152">
        <v>223134</v>
      </c>
      <c r="E396" s="77">
        <v>44592</v>
      </c>
      <c r="F396" s="199" t="s">
        <v>2996</v>
      </c>
      <c r="G396" s="130">
        <v>937744</v>
      </c>
      <c r="H396" s="129" t="s">
        <v>40</v>
      </c>
      <c r="I396" s="66"/>
      <c r="J396" s="66"/>
      <c r="K396" s="15"/>
      <c r="L396" s="14"/>
      <c r="M396" s="96">
        <v>-50000</v>
      </c>
      <c r="N396" s="13"/>
    </row>
    <row r="397" spans="1:18" ht="12" customHeight="1">
      <c r="A397" s="5" t="s">
        <v>664</v>
      </c>
      <c r="B397" s="116">
        <v>12297</v>
      </c>
      <c r="C397" s="58" t="s">
        <v>176</v>
      </c>
      <c r="D397" s="152">
        <v>223574</v>
      </c>
      <c r="E397" s="77">
        <v>44592</v>
      </c>
      <c r="F397" s="199" t="s">
        <v>2997</v>
      </c>
      <c r="G397" s="130">
        <v>937833</v>
      </c>
      <c r="H397" s="129">
        <v>9266</v>
      </c>
      <c r="I397" s="66"/>
      <c r="J397" s="66"/>
      <c r="K397" s="15"/>
      <c r="L397" s="14"/>
      <c r="M397" s="96">
        <v>-40000</v>
      </c>
      <c r="N397" s="13"/>
    </row>
    <row r="398" spans="1:18" ht="12" customHeight="1">
      <c r="A398" s="6" t="s">
        <v>690</v>
      </c>
      <c r="B398" s="114">
        <v>12298</v>
      </c>
      <c r="C398" s="36" t="s">
        <v>177</v>
      </c>
      <c r="D398" s="114">
        <v>137945</v>
      </c>
      <c r="E398" s="74">
        <v>42216</v>
      </c>
      <c r="F398" t="s">
        <v>43</v>
      </c>
      <c r="G398" s="126">
        <v>910393</v>
      </c>
      <c r="H398" s="129">
        <v>113</v>
      </c>
      <c r="I398" s="15">
        <v>42215</v>
      </c>
      <c r="J398" s="15"/>
      <c r="K398" s="26">
        <v>43343</v>
      </c>
      <c r="L398" s="11">
        <v>0</v>
      </c>
      <c r="M398" s="14">
        <f>-86800+95500-9700</f>
        <v>-1000</v>
      </c>
      <c r="N398" s="143" t="s">
        <v>948</v>
      </c>
      <c r="P398" s="16"/>
      <c r="Q398" s="6"/>
      <c r="R398" s="194"/>
    </row>
    <row r="399" spans="1:18">
      <c r="A399" s="6" t="s">
        <v>690</v>
      </c>
      <c r="B399" s="114">
        <v>12298</v>
      </c>
      <c r="C399" s="36" t="s">
        <v>177</v>
      </c>
      <c r="D399" s="114">
        <v>131067</v>
      </c>
      <c r="E399" s="86" t="s">
        <v>934</v>
      </c>
      <c r="F399" t="s">
        <v>941</v>
      </c>
      <c r="G399" s="126">
        <v>905263</v>
      </c>
      <c r="H399" s="129">
        <v>165</v>
      </c>
      <c r="I399" s="15">
        <v>42064</v>
      </c>
      <c r="J399" s="15"/>
      <c r="K399" s="26">
        <f>I399+365</f>
        <v>42429</v>
      </c>
      <c r="L399" s="11">
        <v>0</v>
      </c>
      <c r="M399" s="14">
        <v>-32093</v>
      </c>
      <c r="N399" s="143" t="s">
        <v>1017</v>
      </c>
      <c r="P399" s="16"/>
      <c r="Q399" s="6"/>
      <c r="R399" s="194"/>
    </row>
    <row r="400" spans="1:18">
      <c r="A400" s="6" t="s">
        <v>690</v>
      </c>
      <c r="B400" s="114">
        <v>12298</v>
      </c>
      <c r="C400" s="36" t="s">
        <v>177</v>
      </c>
      <c r="D400" s="114">
        <v>129134</v>
      </c>
      <c r="E400" s="74">
        <v>41943</v>
      </c>
      <c r="F400" t="s">
        <v>723</v>
      </c>
      <c r="G400" s="126">
        <v>905586</v>
      </c>
      <c r="H400" s="129">
        <v>272</v>
      </c>
      <c r="I400" s="15">
        <v>41916</v>
      </c>
      <c r="J400" s="15"/>
      <c r="K400" s="26">
        <v>42280</v>
      </c>
      <c r="L400" s="11">
        <v>0</v>
      </c>
      <c r="M400" s="14">
        <f>-20000+18025.35</f>
        <v>-1974.6500000000015</v>
      </c>
      <c r="N400" s="143" t="s">
        <v>1017</v>
      </c>
      <c r="P400" s="16"/>
      <c r="Q400" s="6"/>
      <c r="R400" s="194"/>
    </row>
    <row r="401" spans="1:18">
      <c r="A401" s="6" t="s">
        <v>690</v>
      </c>
      <c r="B401" s="116">
        <v>12298</v>
      </c>
      <c r="C401" s="58" t="s">
        <v>177</v>
      </c>
      <c r="D401" s="114">
        <v>110201</v>
      </c>
      <c r="E401" s="74">
        <v>42844</v>
      </c>
      <c r="F401" t="s">
        <v>22</v>
      </c>
      <c r="G401" s="126" t="s">
        <v>972</v>
      </c>
      <c r="H401" s="129">
        <v>126</v>
      </c>
      <c r="I401" s="15">
        <v>41515</v>
      </c>
      <c r="J401" s="15"/>
      <c r="K401" s="26"/>
      <c r="L401" s="11">
        <v>0</v>
      </c>
      <c r="M401" s="14">
        <v>24420</v>
      </c>
      <c r="N401" s="143" t="s">
        <v>973</v>
      </c>
      <c r="P401" s="16"/>
      <c r="Q401" s="6"/>
      <c r="R401" s="194"/>
    </row>
    <row r="402" spans="1:18" ht="25.5">
      <c r="A402" s="6" t="s">
        <v>690</v>
      </c>
      <c r="B402" s="116">
        <v>12298</v>
      </c>
      <c r="C402" s="58" t="s">
        <v>177</v>
      </c>
      <c r="D402" s="116">
        <v>131060</v>
      </c>
      <c r="E402" s="87">
        <v>42207</v>
      </c>
      <c r="F402" s="5" t="s">
        <v>632</v>
      </c>
      <c r="G402" s="130">
        <v>905263</v>
      </c>
      <c r="H402" s="129">
        <v>165</v>
      </c>
      <c r="I402" s="15">
        <v>42064</v>
      </c>
      <c r="J402" s="15"/>
      <c r="K402" s="26">
        <f>I402+365</f>
        <v>42429</v>
      </c>
      <c r="L402" s="11">
        <v>0</v>
      </c>
      <c r="M402" s="14">
        <f>-121666.66+166666.66</f>
        <v>45000</v>
      </c>
      <c r="N402" s="143" t="s">
        <v>1018</v>
      </c>
      <c r="P402" s="16"/>
      <c r="Q402" s="6"/>
      <c r="R402" s="194"/>
    </row>
    <row r="403" spans="1:18">
      <c r="A403" t="s">
        <v>664</v>
      </c>
      <c r="B403" s="116">
        <v>12303</v>
      </c>
      <c r="C403" s="58" t="s">
        <v>1021</v>
      </c>
      <c r="D403" s="116">
        <v>192087</v>
      </c>
      <c r="E403" s="87">
        <v>43220</v>
      </c>
      <c r="F403" s="5" t="s">
        <v>1022</v>
      </c>
      <c r="G403" s="130">
        <v>914376</v>
      </c>
      <c r="H403" s="129">
        <v>1170</v>
      </c>
      <c r="I403" s="15">
        <v>43204</v>
      </c>
      <c r="J403" s="15"/>
      <c r="K403" s="26">
        <v>43921</v>
      </c>
      <c r="L403" s="11">
        <v>17000</v>
      </c>
      <c r="M403" s="14">
        <v>-17000</v>
      </c>
      <c r="N403" s="13" t="s">
        <v>970</v>
      </c>
      <c r="O403" s="6"/>
      <c r="Q403" s="194"/>
      <c r="R403" s="194"/>
    </row>
    <row r="404" spans="1:18">
      <c r="A404" t="s">
        <v>664</v>
      </c>
      <c r="B404" s="116">
        <v>12303</v>
      </c>
      <c r="C404" s="58" t="s">
        <v>1021</v>
      </c>
      <c r="D404" s="116">
        <v>197393</v>
      </c>
      <c r="E404" s="87">
        <v>43500</v>
      </c>
      <c r="F404" s="5" t="s">
        <v>1067</v>
      </c>
      <c r="G404" s="130">
        <v>926558</v>
      </c>
      <c r="H404" s="129">
        <v>1120</v>
      </c>
      <c r="I404" s="49">
        <v>43586</v>
      </c>
      <c r="J404" s="49"/>
      <c r="K404" s="26">
        <v>43952</v>
      </c>
      <c r="L404" s="11">
        <v>275000</v>
      </c>
      <c r="M404" s="14">
        <f>-275000-91544.43+275000</f>
        <v>-91544.43</v>
      </c>
      <c r="N404" s="13" t="s">
        <v>1215</v>
      </c>
      <c r="O404" s="179"/>
      <c r="Q404" s="194"/>
      <c r="R404" s="194"/>
    </row>
    <row r="405" spans="1:18">
      <c r="A405" t="s">
        <v>664</v>
      </c>
      <c r="B405" s="116">
        <v>12303</v>
      </c>
      <c r="C405" s="58" t="s">
        <v>1021</v>
      </c>
      <c r="D405" s="116">
        <v>221661</v>
      </c>
      <c r="E405" s="87">
        <v>44377</v>
      </c>
      <c r="F405" s="5" t="s">
        <v>1880</v>
      </c>
      <c r="G405" s="130">
        <v>934219</v>
      </c>
      <c r="H405" s="129">
        <v>1515</v>
      </c>
      <c r="I405" s="15">
        <v>44309</v>
      </c>
      <c r="J405" s="15"/>
      <c r="K405" s="26"/>
      <c r="L405" s="11">
        <v>20000</v>
      </c>
      <c r="M405" s="14">
        <f>-200000+200000</f>
        <v>0</v>
      </c>
      <c r="N405" s="13"/>
      <c r="O405" s="179"/>
      <c r="Q405" s="194"/>
      <c r="R405" s="194"/>
    </row>
    <row r="406" spans="1:18">
      <c r="A406" t="s">
        <v>664</v>
      </c>
      <c r="B406" s="116">
        <v>12303</v>
      </c>
      <c r="C406" s="58" t="s">
        <v>1021</v>
      </c>
      <c r="D406" s="116">
        <v>221662</v>
      </c>
      <c r="E406" s="87">
        <v>44377</v>
      </c>
      <c r="F406" s="213" t="s">
        <v>1157</v>
      </c>
      <c r="G406" s="130">
        <v>931969</v>
      </c>
      <c r="H406" s="129">
        <v>1585</v>
      </c>
      <c r="I406" s="15">
        <v>44181</v>
      </c>
      <c r="J406" s="15"/>
      <c r="K406" s="26"/>
      <c r="L406" s="11">
        <v>212040</v>
      </c>
      <c r="M406" s="14">
        <f>-212040+212040</f>
        <v>0</v>
      </c>
      <c r="N406" s="13"/>
      <c r="O406" s="179"/>
      <c r="Q406" s="194"/>
      <c r="R406" s="194"/>
    </row>
    <row r="407" spans="1:18">
      <c r="A407" s="5" t="s">
        <v>664</v>
      </c>
      <c r="B407" s="116">
        <v>12303</v>
      </c>
      <c r="C407" s="58" t="s">
        <v>1021</v>
      </c>
      <c r="D407" s="116">
        <v>214030</v>
      </c>
      <c r="E407" s="87">
        <v>43858</v>
      </c>
      <c r="F407" s="5" t="s">
        <v>1139</v>
      </c>
      <c r="G407" s="130">
        <v>928994</v>
      </c>
      <c r="H407" s="129">
        <v>1030</v>
      </c>
      <c r="I407" s="49">
        <v>43770</v>
      </c>
      <c r="J407" s="49"/>
      <c r="K407" s="26"/>
      <c r="L407" s="14">
        <v>150000</v>
      </c>
      <c r="M407" s="14">
        <f>-150000+45000+45000+22500+60000-60000+60000</f>
        <v>22500</v>
      </c>
      <c r="N407" s="13" t="s">
        <v>2512</v>
      </c>
      <c r="O407" s="6"/>
      <c r="Q407" s="194"/>
      <c r="R407" s="194"/>
    </row>
    <row r="408" spans="1:18">
      <c r="A408" s="5" t="s">
        <v>664</v>
      </c>
      <c r="B408" s="116">
        <v>12303</v>
      </c>
      <c r="C408" s="58" t="s">
        <v>1021</v>
      </c>
      <c r="D408" s="116">
        <v>220762</v>
      </c>
      <c r="E408" s="87">
        <v>44469</v>
      </c>
      <c r="F408" s="111" t="s">
        <v>2321</v>
      </c>
      <c r="G408" s="130">
        <v>930566</v>
      </c>
      <c r="H408" s="129"/>
      <c r="I408" s="15"/>
      <c r="J408" s="15"/>
      <c r="K408" s="26"/>
      <c r="L408" s="14"/>
      <c r="M408" s="14">
        <f>80000-80000</f>
        <v>0</v>
      </c>
      <c r="N408" s="13"/>
      <c r="O408" s="6"/>
      <c r="Q408" s="194"/>
      <c r="R408" s="194"/>
    </row>
    <row r="409" spans="1:18">
      <c r="A409" t="s">
        <v>664</v>
      </c>
      <c r="B409" s="119">
        <v>12305</v>
      </c>
      <c r="C409" s="54" t="s">
        <v>184</v>
      </c>
      <c r="D409" s="114">
        <v>150644</v>
      </c>
      <c r="E409" s="67">
        <v>42566</v>
      </c>
      <c r="F409" s="9" t="s">
        <v>711</v>
      </c>
      <c r="G409" s="126">
        <v>43341</v>
      </c>
      <c r="H409" s="131" t="s">
        <v>889</v>
      </c>
      <c r="I409" s="15">
        <v>42461</v>
      </c>
      <c r="J409" s="15"/>
      <c r="K409" s="15">
        <v>43861</v>
      </c>
      <c r="L409" s="11">
        <v>82396.17</v>
      </c>
      <c r="M409" s="14">
        <v>-173</v>
      </c>
      <c r="N409" s="52" t="s">
        <v>990</v>
      </c>
      <c r="Q409" s="193"/>
      <c r="R409" s="193"/>
    </row>
    <row r="410" spans="1:18" ht="25.5">
      <c r="A410" t="s">
        <v>664</v>
      </c>
      <c r="B410" s="119">
        <v>12305</v>
      </c>
      <c r="C410" s="54" t="s">
        <v>184</v>
      </c>
      <c r="D410" s="114">
        <v>188216</v>
      </c>
      <c r="E410" s="67">
        <v>43039</v>
      </c>
      <c r="F410" s="9" t="s">
        <v>983</v>
      </c>
      <c r="G410" s="126">
        <v>919322</v>
      </c>
      <c r="H410" s="131" t="s">
        <v>869</v>
      </c>
      <c r="I410" s="15">
        <v>43009</v>
      </c>
      <c r="J410" s="15"/>
      <c r="K410" s="15">
        <v>43373</v>
      </c>
      <c r="L410" s="11">
        <v>15000</v>
      </c>
      <c r="M410" s="14">
        <v>-15000</v>
      </c>
      <c r="N410" s="154" t="s">
        <v>1052</v>
      </c>
      <c r="Q410" s="193"/>
      <c r="R410" s="193"/>
    </row>
    <row r="411" spans="1:18">
      <c r="A411" t="s">
        <v>664</v>
      </c>
      <c r="B411" s="119">
        <v>12305</v>
      </c>
      <c r="C411" s="54" t="s">
        <v>184</v>
      </c>
      <c r="D411" s="114">
        <v>198200</v>
      </c>
      <c r="E411" s="67">
        <v>43572</v>
      </c>
      <c r="F411" s="9" t="s">
        <v>25</v>
      </c>
      <c r="G411" s="126">
        <v>925411</v>
      </c>
      <c r="H411" s="131">
        <v>167</v>
      </c>
      <c r="I411" s="148">
        <v>43586</v>
      </c>
      <c r="J411" s="148"/>
      <c r="K411" s="15"/>
      <c r="L411" s="11">
        <v>1339360</v>
      </c>
      <c r="M411" s="14">
        <f>-1339360-160+446506.67+893013.33</f>
        <v>0</v>
      </c>
      <c r="N411" s="13" t="s">
        <v>950</v>
      </c>
      <c r="Q411" s="193"/>
      <c r="R411" s="193"/>
    </row>
    <row r="412" spans="1:18">
      <c r="A412" t="s">
        <v>664</v>
      </c>
      <c r="B412" s="119">
        <v>12305</v>
      </c>
      <c r="C412" s="54" t="s">
        <v>184</v>
      </c>
      <c r="D412" s="114">
        <v>211700</v>
      </c>
      <c r="E412" s="67">
        <v>43657</v>
      </c>
      <c r="F412" s="9" t="s">
        <v>1098</v>
      </c>
      <c r="G412" s="126">
        <v>928047</v>
      </c>
      <c r="H412" s="131">
        <v>159</v>
      </c>
      <c r="I412" s="15">
        <v>43616</v>
      </c>
      <c r="J412" s="15"/>
      <c r="K412" s="15">
        <v>43983</v>
      </c>
      <c r="L412" s="11">
        <v>25000</v>
      </c>
      <c r="M412" s="14">
        <f>-25000+16534.76-16013.92+16013.92</f>
        <v>-8465.2400000000034</v>
      </c>
      <c r="N412" s="13" t="s">
        <v>986</v>
      </c>
      <c r="Q412" s="193"/>
      <c r="R412" s="193"/>
    </row>
    <row r="413" spans="1:18">
      <c r="A413" t="s">
        <v>664</v>
      </c>
      <c r="B413" s="119">
        <v>12305</v>
      </c>
      <c r="C413" s="54" t="s">
        <v>184</v>
      </c>
      <c r="D413" s="114">
        <v>214745</v>
      </c>
      <c r="E413" s="67">
        <v>43832</v>
      </c>
      <c r="F413" s="9" t="s">
        <v>1163</v>
      </c>
      <c r="G413" s="126">
        <v>913867</v>
      </c>
      <c r="H413" s="131" t="s">
        <v>901</v>
      </c>
      <c r="I413" s="15">
        <v>43556</v>
      </c>
      <c r="J413" s="15"/>
      <c r="K413" s="15">
        <v>43922</v>
      </c>
      <c r="L413" s="11">
        <v>5000</v>
      </c>
      <c r="M413" s="14">
        <v>-5000</v>
      </c>
      <c r="N413" s="13" t="s">
        <v>986</v>
      </c>
      <c r="Q413" s="193"/>
      <c r="R413" s="193"/>
    </row>
    <row r="414" spans="1:18">
      <c r="A414" t="s">
        <v>664</v>
      </c>
      <c r="B414" s="119">
        <v>12305</v>
      </c>
      <c r="C414" s="54" t="s">
        <v>184</v>
      </c>
      <c r="D414" s="114">
        <v>214846</v>
      </c>
      <c r="E414" s="67">
        <v>43847</v>
      </c>
      <c r="F414" s="9" t="s">
        <v>794</v>
      </c>
      <c r="G414" s="126">
        <v>905257</v>
      </c>
      <c r="H414" s="131">
        <v>9242</v>
      </c>
      <c r="I414" s="15">
        <v>43770</v>
      </c>
      <c r="J414" s="15"/>
      <c r="K414" s="15">
        <v>44136</v>
      </c>
      <c r="L414" s="11">
        <v>10000</v>
      </c>
      <c r="M414" s="14">
        <v>-10000</v>
      </c>
      <c r="N414" s="13" t="s">
        <v>986</v>
      </c>
      <c r="Q414" s="193"/>
      <c r="R414" s="193"/>
    </row>
    <row r="415" spans="1:18">
      <c r="A415" t="s">
        <v>664</v>
      </c>
      <c r="B415" s="119">
        <v>12305</v>
      </c>
      <c r="C415" s="54" t="s">
        <v>184</v>
      </c>
      <c r="D415" s="114">
        <v>214998</v>
      </c>
      <c r="E415" s="67">
        <v>43857</v>
      </c>
      <c r="F415" s="9" t="s">
        <v>1165</v>
      </c>
      <c r="G415" s="126">
        <v>928965</v>
      </c>
      <c r="H415" s="131" t="s">
        <v>903</v>
      </c>
      <c r="I415" s="15">
        <v>43795</v>
      </c>
      <c r="J415" s="15"/>
      <c r="K415" s="15">
        <v>44161</v>
      </c>
      <c r="L415" s="11">
        <v>35000</v>
      </c>
      <c r="M415" s="14">
        <v>-35000</v>
      </c>
      <c r="N415" s="13" t="s">
        <v>986</v>
      </c>
      <c r="Q415" s="193"/>
      <c r="R415" s="193"/>
    </row>
    <row r="416" spans="1:18">
      <c r="A416" t="s">
        <v>664</v>
      </c>
      <c r="B416" s="119">
        <v>12305</v>
      </c>
      <c r="C416" s="54" t="s">
        <v>184</v>
      </c>
      <c r="D416" s="114">
        <v>215863</v>
      </c>
      <c r="E416" s="67">
        <v>43892</v>
      </c>
      <c r="F416" s="9" t="s">
        <v>1199</v>
      </c>
      <c r="G416" s="126">
        <v>931011</v>
      </c>
      <c r="H416" s="131" t="s">
        <v>900</v>
      </c>
      <c r="I416" s="148">
        <v>43952</v>
      </c>
      <c r="J416" s="148"/>
      <c r="K416" s="15"/>
      <c r="L416" s="11">
        <v>110000</v>
      </c>
      <c r="M416" s="14">
        <f>-110000+55000</f>
        <v>-55000</v>
      </c>
      <c r="N416" s="13" t="s">
        <v>1068</v>
      </c>
      <c r="Q416" s="193"/>
      <c r="R416" s="193"/>
    </row>
    <row r="417" spans="1:18">
      <c r="A417" t="s">
        <v>664</v>
      </c>
      <c r="B417" s="119">
        <v>12305</v>
      </c>
      <c r="C417" s="54" t="s">
        <v>184</v>
      </c>
      <c r="D417" s="114">
        <v>220820</v>
      </c>
      <c r="E417" s="67">
        <v>44286</v>
      </c>
      <c r="F417" s="9" t="s">
        <v>1060</v>
      </c>
      <c r="G417" s="126">
        <v>933907</v>
      </c>
      <c r="H417" s="131"/>
      <c r="I417" s="15"/>
      <c r="J417" s="15"/>
      <c r="K417" s="15"/>
      <c r="L417" s="11">
        <v>50000</v>
      </c>
      <c r="M417" s="14">
        <v>-50000</v>
      </c>
      <c r="N417" s="13"/>
      <c r="Q417" s="194"/>
      <c r="R417" s="194"/>
    </row>
    <row r="418" spans="1:18">
      <c r="A418" s="5" t="s">
        <v>664</v>
      </c>
      <c r="B418" s="214">
        <v>12305</v>
      </c>
      <c r="C418" s="55" t="s">
        <v>184</v>
      </c>
      <c r="D418" s="116">
        <v>221152</v>
      </c>
      <c r="E418" s="67"/>
      <c r="F418" s="6" t="s">
        <v>1720</v>
      </c>
      <c r="G418" s="130">
        <v>930198</v>
      </c>
      <c r="H418" s="131" t="s">
        <v>904</v>
      </c>
      <c r="I418" s="15">
        <v>44287</v>
      </c>
      <c r="J418" s="15"/>
      <c r="K418" s="15"/>
      <c r="L418" s="14">
        <v>13797.8</v>
      </c>
      <c r="M418" s="14">
        <f>13797.8-13797.8</f>
        <v>0</v>
      </c>
      <c r="N418" s="52"/>
      <c r="Q418" s="194"/>
      <c r="R418" s="194"/>
    </row>
    <row r="419" spans="1:18">
      <c r="A419" s="5" t="s">
        <v>664</v>
      </c>
      <c r="B419" s="214">
        <v>12305</v>
      </c>
      <c r="C419" s="55" t="s">
        <v>184</v>
      </c>
      <c r="D419" s="114">
        <v>221654</v>
      </c>
      <c r="E419" s="67"/>
      <c r="F419" s="6" t="s">
        <v>797</v>
      </c>
      <c r="G419" s="130"/>
      <c r="H419" s="131"/>
      <c r="I419" s="15"/>
      <c r="J419" s="15"/>
      <c r="K419" s="15"/>
      <c r="L419" s="14">
        <v>150000</v>
      </c>
      <c r="M419" s="14">
        <v>-150000</v>
      </c>
      <c r="N419" s="52"/>
      <c r="Q419" s="194"/>
      <c r="R419" s="194"/>
    </row>
    <row r="420" spans="1:18">
      <c r="A420" s="5" t="s">
        <v>664</v>
      </c>
      <c r="B420" s="214">
        <v>12305</v>
      </c>
      <c r="C420" s="55" t="s">
        <v>184</v>
      </c>
      <c r="D420" s="116">
        <v>221850</v>
      </c>
      <c r="E420" s="67"/>
      <c r="F420" s="6" t="s">
        <v>2054</v>
      </c>
      <c r="G420" s="130">
        <v>932814</v>
      </c>
      <c r="H420" s="131"/>
      <c r="I420" s="15"/>
      <c r="J420" s="15"/>
      <c r="K420" s="15"/>
      <c r="L420" s="14">
        <v>813200</v>
      </c>
      <c r="M420" s="223">
        <f>213959.7+30000.3-813200</f>
        <v>-569240</v>
      </c>
      <c r="N420" s="52"/>
      <c r="Q420" s="194"/>
      <c r="R420" s="194"/>
    </row>
    <row r="421" spans="1:18">
      <c r="A421" s="5" t="s">
        <v>664</v>
      </c>
      <c r="B421" s="214">
        <v>12305</v>
      </c>
      <c r="C421" s="55" t="s">
        <v>184</v>
      </c>
      <c r="D421" s="116">
        <v>222013</v>
      </c>
      <c r="E421" s="67">
        <v>44440</v>
      </c>
      <c r="F421" s="9" t="s">
        <v>1095</v>
      </c>
      <c r="G421" s="130">
        <v>932500</v>
      </c>
      <c r="H421" s="131"/>
      <c r="I421" s="15"/>
      <c r="J421" s="15"/>
      <c r="K421" s="15"/>
      <c r="L421" s="14">
        <v>450000</v>
      </c>
      <c r="M421" s="223">
        <f>-450000+150000</f>
        <v>-300000</v>
      </c>
      <c r="N421" s="52"/>
      <c r="Q421" s="194"/>
      <c r="R421" s="194"/>
    </row>
    <row r="422" spans="1:18">
      <c r="A422" s="5" t="s">
        <v>664</v>
      </c>
      <c r="B422" s="214">
        <v>12305</v>
      </c>
      <c r="C422" s="55" t="s">
        <v>184</v>
      </c>
      <c r="D422" s="116">
        <v>222947</v>
      </c>
      <c r="E422" s="67">
        <v>44530</v>
      </c>
      <c r="F422" s="9" t="s">
        <v>2514</v>
      </c>
      <c r="G422" s="130"/>
      <c r="H422" s="131"/>
      <c r="I422" s="15"/>
      <c r="J422" s="15"/>
      <c r="K422" s="15"/>
      <c r="L422" s="14"/>
      <c r="M422" s="223">
        <v>-30000</v>
      </c>
      <c r="N422" s="52"/>
      <c r="Q422" s="194"/>
      <c r="R422" s="194"/>
    </row>
    <row r="423" spans="1:18" ht="38.25">
      <c r="A423" t="s">
        <v>664</v>
      </c>
      <c r="B423" s="119">
        <v>12306</v>
      </c>
      <c r="C423" s="54" t="s">
        <v>185</v>
      </c>
      <c r="D423" s="114">
        <v>183508</v>
      </c>
      <c r="E423" s="76">
        <v>42782</v>
      </c>
      <c r="F423" t="s">
        <v>666</v>
      </c>
      <c r="G423" s="126">
        <v>917173</v>
      </c>
      <c r="H423" s="114" t="s">
        <v>902</v>
      </c>
      <c r="I423" s="15">
        <v>42826</v>
      </c>
      <c r="J423" s="15"/>
      <c r="K423" s="26">
        <v>46477</v>
      </c>
      <c r="L423" s="11">
        <v>590000</v>
      </c>
      <c r="M423" s="14">
        <f>-590000+15695.78+34278.35+131507.32+49974.13+213393.75+36180+57643.92+12204+4796.56</f>
        <v>-34326.189999999988</v>
      </c>
      <c r="N423" s="52" t="s">
        <v>1020</v>
      </c>
      <c r="Q423" s="193"/>
      <c r="R423" s="193"/>
    </row>
    <row r="424" spans="1:18">
      <c r="A424" t="s">
        <v>664</v>
      </c>
      <c r="B424" s="119">
        <v>12306</v>
      </c>
      <c r="C424" s="54" t="s">
        <v>185</v>
      </c>
      <c r="D424" s="114">
        <v>220559</v>
      </c>
      <c r="E424" s="76">
        <v>44227</v>
      </c>
      <c r="F424" t="s">
        <v>1357</v>
      </c>
      <c r="G424" s="126">
        <v>37020</v>
      </c>
      <c r="I424" s="15"/>
      <c r="J424" s="15"/>
      <c r="K424" s="26"/>
      <c r="L424" s="11">
        <v>538800</v>
      </c>
      <c r="M424" s="14">
        <f>-378585-160215+56631+115823+115823+25515+90308+134700</f>
        <v>0</v>
      </c>
      <c r="N424" s="52"/>
      <c r="Q424" s="193"/>
      <c r="R424" s="193"/>
    </row>
    <row r="425" spans="1:18">
      <c r="A425" t="s">
        <v>664</v>
      </c>
      <c r="B425" s="119">
        <v>12306</v>
      </c>
      <c r="C425" s="54" t="s">
        <v>185</v>
      </c>
      <c r="D425" s="114">
        <v>215877</v>
      </c>
      <c r="E425" s="76">
        <v>43921</v>
      </c>
      <c r="F425" t="s">
        <v>1206</v>
      </c>
      <c r="G425" s="126">
        <v>69759</v>
      </c>
      <c r="H425" s="114">
        <v>410</v>
      </c>
      <c r="I425" s="49">
        <v>43891</v>
      </c>
      <c r="J425" s="49"/>
      <c r="K425" s="26"/>
      <c r="L425" s="11">
        <v>102060</v>
      </c>
      <c r="M425" s="14">
        <f>-102060+90000+12060</f>
        <v>0</v>
      </c>
      <c r="N425" s="52" t="s">
        <v>1207</v>
      </c>
      <c r="Q425" s="193"/>
      <c r="R425" s="193"/>
    </row>
    <row r="426" spans="1:18">
      <c r="A426" s="5" t="s">
        <v>664</v>
      </c>
      <c r="B426" s="214">
        <v>12306</v>
      </c>
      <c r="C426" s="55" t="s">
        <v>185</v>
      </c>
      <c r="D426" s="116">
        <v>221896</v>
      </c>
      <c r="E426" s="76">
        <v>44405</v>
      </c>
      <c r="F426" t="s">
        <v>2060</v>
      </c>
      <c r="G426" s="130"/>
      <c r="H426" s="116"/>
      <c r="I426" s="15"/>
      <c r="J426" s="15"/>
      <c r="K426" s="26"/>
      <c r="L426" s="14">
        <v>19320</v>
      </c>
      <c r="M426" s="14">
        <f>-13946.04+19320+13946.04-19320</f>
        <v>0</v>
      </c>
      <c r="N426" s="52"/>
      <c r="Q426" s="197"/>
      <c r="R426" s="197"/>
    </row>
    <row r="427" spans="1:18">
      <c r="A427"/>
      <c r="B427" s="119">
        <v>12307</v>
      </c>
      <c r="C427" s="161" t="s">
        <v>186</v>
      </c>
      <c r="D427" s="114">
        <v>221196</v>
      </c>
      <c r="E427" s="87">
        <v>44302</v>
      </c>
      <c r="F427" s="87" t="s">
        <v>1721</v>
      </c>
      <c r="G427" s="126">
        <v>932907</v>
      </c>
      <c r="H427" s="114">
        <v>100</v>
      </c>
      <c r="I427" s="15"/>
      <c r="J427" s="15"/>
      <c r="K427" s="26"/>
      <c r="L427" s="11">
        <v>359360</v>
      </c>
      <c r="M427" s="14">
        <f>-359360</f>
        <v>-359360</v>
      </c>
      <c r="N427" s="52"/>
      <c r="Q427" s="193"/>
      <c r="R427" s="193"/>
    </row>
    <row r="428" spans="1:18">
      <c r="A428"/>
      <c r="B428" s="119">
        <v>12307</v>
      </c>
      <c r="C428" s="161" t="s">
        <v>186</v>
      </c>
      <c r="D428" s="114">
        <v>221904</v>
      </c>
      <c r="E428" s="87"/>
      <c r="F428" s="87" t="s">
        <v>1721</v>
      </c>
      <c r="G428" s="126">
        <v>932907</v>
      </c>
      <c r="H428" s="114">
        <v>404</v>
      </c>
      <c r="I428" s="15"/>
      <c r="J428" s="15"/>
      <c r="K428" s="26"/>
      <c r="L428" s="11"/>
      <c r="M428" s="14">
        <f>48017.95-48017.95</f>
        <v>0</v>
      </c>
      <c r="N428" s="52" t="s">
        <v>2490</v>
      </c>
      <c r="Q428" s="193"/>
      <c r="R428" s="193"/>
    </row>
    <row r="429" spans="1:18">
      <c r="A429" t="s">
        <v>664</v>
      </c>
      <c r="B429" s="119">
        <v>12315</v>
      </c>
      <c r="C429" s="161" t="s">
        <v>194</v>
      </c>
      <c r="D429" s="114">
        <v>215397</v>
      </c>
      <c r="E429" s="76">
        <v>43872</v>
      </c>
      <c r="F429" t="s">
        <v>1180</v>
      </c>
      <c r="G429" s="126">
        <v>928979</v>
      </c>
      <c r="H429" s="114">
        <v>1260</v>
      </c>
      <c r="I429" s="15">
        <v>43789</v>
      </c>
      <c r="J429" s="15"/>
      <c r="K429" s="26">
        <v>43789</v>
      </c>
      <c r="L429" s="11">
        <v>15000</v>
      </c>
      <c r="M429" s="14">
        <v>-15000</v>
      </c>
      <c r="N429" s="52" t="s">
        <v>986</v>
      </c>
    </row>
    <row r="430" spans="1:18">
      <c r="A430" t="s">
        <v>664</v>
      </c>
      <c r="B430" s="114">
        <v>12317</v>
      </c>
      <c r="C430" s="36" t="s">
        <v>196</v>
      </c>
      <c r="D430" s="114" t="str">
        <f>IF(AND(S430&gt;0,VALUE(T430)&gt;0),VALUE(T430),IF(AND(S430&gt;0,T430=""),"N/A",""))</f>
        <v/>
      </c>
      <c r="E430" s="65" t="s">
        <v>934</v>
      </c>
      <c r="F430" t="s">
        <v>938</v>
      </c>
      <c r="G430" s="126" t="s">
        <v>78</v>
      </c>
      <c r="H430" s="129">
        <v>2100</v>
      </c>
      <c r="I430" s="65" t="s">
        <v>78</v>
      </c>
      <c r="J430" s="65"/>
      <c r="K430" s="26" t="s">
        <v>78</v>
      </c>
      <c r="L430" s="11"/>
      <c r="M430" s="14">
        <f>-93578+50000</f>
        <v>-43578</v>
      </c>
      <c r="N430" s="13" t="s">
        <v>988</v>
      </c>
    </row>
    <row r="431" spans="1:18">
      <c r="A431" t="s">
        <v>664</v>
      </c>
      <c r="B431" s="114">
        <v>12317</v>
      </c>
      <c r="C431" s="36" t="s">
        <v>196</v>
      </c>
      <c r="D431" s="114" t="str">
        <f>IF(AND(S431&gt;0,VALUE(T431)&gt;0),VALUE(T431),IF(AND(S431&gt;0,T431=""),"N/A",""))</f>
        <v/>
      </c>
      <c r="E431" s="65" t="s">
        <v>934</v>
      </c>
      <c r="F431" t="s">
        <v>938</v>
      </c>
      <c r="G431" s="126" t="s">
        <v>78</v>
      </c>
      <c r="H431" s="129">
        <v>2100</v>
      </c>
      <c r="I431" s="65" t="s">
        <v>78</v>
      </c>
      <c r="J431" s="65"/>
      <c r="K431" s="26" t="s">
        <v>78</v>
      </c>
      <c r="L431" s="11"/>
      <c r="M431" s="14">
        <v>-4326</v>
      </c>
      <c r="N431" s="13" t="s">
        <v>988</v>
      </c>
    </row>
    <row r="432" spans="1:18">
      <c r="A432" t="s">
        <v>664</v>
      </c>
      <c r="B432" s="114">
        <v>12327</v>
      </c>
      <c r="C432" s="36" t="s">
        <v>206</v>
      </c>
      <c r="D432" s="114">
        <v>143641</v>
      </c>
      <c r="E432" s="65">
        <v>42214</v>
      </c>
      <c r="F432" t="s">
        <v>643</v>
      </c>
      <c r="G432" s="126">
        <v>334131</v>
      </c>
      <c r="H432" s="129">
        <v>1402</v>
      </c>
      <c r="I432" s="15">
        <v>41671</v>
      </c>
      <c r="J432" s="15"/>
      <c r="K432" s="26">
        <v>45322</v>
      </c>
      <c r="L432" s="11">
        <v>20000</v>
      </c>
      <c r="M432" s="14">
        <f>-20000+20000</f>
        <v>0</v>
      </c>
      <c r="N432" s="13" t="s">
        <v>991</v>
      </c>
    </row>
    <row r="433" spans="1:18" ht="102">
      <c r="A433" t="s">
        <v>664</v>
      </c>
      <c r="B433" s="114">
        <v>12327</v>
      </c>
      <c r="C433" s="36" t="s">
        <v>206</v>
      </c>
      <c r="D433" s="114">
        <v>183794</v>
      </c>
      <c r="E433" s="76">
        <v>42803</v>
      </c>
      <c r="F433" s="87" t="s">
        <v>840</v>
      </c>
      <c r="G433" s="126">
        <v>915991</v>
      </c>
      <c r="H433" s="129">
        <v>9015</v>
      </c>
      <c r="I433" s="15">
        <v>42705</v>
      </c>
      <c r="J433" s="15"/>
      <c r="K433" s="26">
        <v>43069</v>
      </c>
      <c r="L433" s="11">
        <v>5000</v>
      </c>
      <c r="M433" s="14">
        <f>-5000+5000</f>
        <v>0</v>
      </c>
      <c r="N433" s="153" t="s">
        <v>1053</v>
      </c>
    </row>
    <row r="434" spans="1:18">
      <c r="A434" t="s">
        <v>664</v>
      </c>
      <c r="B434" s="114">
        <v>12327</v>
      </c>
      <c r="C434" s="36" t="s">
        <v>206</v>
      </c>
      <c r="D434" s="114">
        <v>192565</v>
      </c>
      <c r="E434" s="76">
        <v>43236</v>
      </c>
      <c r="F434" s="87" t="s">
        <v>1025</v>
      </c>
      <c r="G434" s="126">
        <v>923720</v>
      </c>
      <c r="H434" s="129">
        <v>1414</v>
      </c>
      <c r="I434" s="15"/>
      <c r="J434" s="15"/>
      <c r="K434" s="26"/>
      <c r="L434" s="11">
        <v>75000</v>
      </c>
      <c r="M434" s="14">
        <f>-45000-30000+37500+44500-7000</f>
        <v>0</v>
      </c>
      <c r="N434" s="13" t="s">
        <v>968</v>
      </c>
    </row>
    <row r="435" spans="1:18">
      <c r="A435" t="s">
        <v>664</v>
      </c>
      <c r="B435" s="114">
        <v>12327</v>
      </c>
      <c r="C435" s="36" t="s">
        <v>206</v>
      </c>
      <c r="D435" s="114">
        <v>195625</v>
      </c>
      <c r="E435" s="76">
        <v>43385</v>
      </c>
      <c r="F435" s="87" t="s">
        <v>33</v>
      </c>
      <c r="G435" s="126">
        <v>333198</v>
      </c>
      <c r="H435" s="129">
        <v>1729</v>
      </c>
      <c r="I435" s="49">
        <v>43405</v>
      </c>
      <c r="J435" s="49"/>
      <c r="K435" s="26"/>
      <c r="L435" s="11">
        <v>210000</v>
      </c>
      <c r="M435" s="14">
        <f>-210000+210000</f>
        <v>0</v>
      </c>
      <c r="N435" s="92" t="s">
        <v>1217</v>
      </c>
    </row>
    <row r="436" spans="1:18">
      <c r="A436" s="5" t="s">
        <v>664</v>
      </c>
      <c r="B436" s="116">
        <v>12327</v>
      </c>
      <c r="C436" s="58" t="s">
        <v>206</v>
      </c>
      <c r="D436" s="116">
        <v>197707</v>
      </c>
      <c r="E436" s="76">
        <v>43553</v>
      </c>
      <c r="F436" s="87" t="s">
        <v>658</v>
      </c>
      <c r="G436" s="130">
        <v>926866</v>
      </c>
      <c r="H436" s="129">
        <v>1717</v>
      </c>
      <c r="I436" s="49">
        <v>43586</v>
      </c>
      <c r="J436" s="49"/>
      <c r="K436" s="26"/>
      <c r="L436" s="14">
        <v>100000</v>
      </c>
      <c r="M436" s="14">
        <f>-100000+150000-50000</f>
        <v>0</v>
      </c>
      <c r="N436" s="52" t="s">
        <v>1538</v>
      </c>
      <c r="O436" s="6"/>
    </row>
    <row r="437" spans="1:18">
      <c r="A437" t="s">
        <v>664</v>
      </c>
      <c r="B437" s="114">
        <v>12327</v>
      </c>
      <c r="C437" s="36" t="s">
        <v>206</v>
      </c>
      <c r="D437" s="114">
        <v>197708</v>
      </c>
      <c r="E437" s="76">
        <v>43553</v>
      </c>
      <c r="F437" s="87" t="s">
        <v>1079</v>
      </c>
      <c r="G437" s="126">
        <v>926512</v>
      </c>
      <c r="H437" s="129">
        <v>1612</v>
      </c>
      <c r="I437" s="49">
        <v>43617</v>
      </c>
      <c r="J437" s="49"/>
      <c r="K437" s="26"/>
      <c r="L437" s="11">
        <v>80000</v>
      </c>
      <c r="M437" s="14">
        <f>-80000+26666.66+53333.34</f>
        <v>0</v>
      </c>
      <c r="N437" s="13" t="s">
        <v>968</v>
      </c>
    </row>
    <row r="438" spans="1:18">
      <c r="A438" t="s">
        <v>664</v>
      </c>
      <c r="B438" s="114">
        <v>12327</v>
      </c>
      <c r="C438" s="36" t="s">
        <v>206</v>
      </c>
      <c r="D438" s="114">
        <v>197770</v>
      </c>
      <c r="E438" s="76">
        <v>43551</v>
      </c>
      <c r="F438" s="87" t="s">
        <v>1083</v>
      </c>
      <c r="G438" s="126">
        <v>927000</v>
      </c>
      <c r="H438" s="129">
        <v>1328</v>
      </c>
      <c r="I438" s="49">
        <v>43739</v>
      </c>
      <c r="J438" s="49"/>
      <c r="K438" s="26"/>
      <c r="L438" s="11">
        <v>300000</v>
      </c>
      <c r="M438" s="14">
        <f>-300000+100000+100000+100000</f>
        <v>0</v>
      </c>
      <c r="N438" s="13" t="s">
        <v>968</v>
      </c>
    </row>
    <row r="439" spans="1:18">
      <c r="A439" t="s">
        <v>664</v>
      </c>
      <c r="B439" s="114">
        <v>12327</v>
      </c>
      <c r="C439" s="36" t="s">
        <v>206</v>
      </c>
      <c r="D439" s="114">
        <v>216341</v>
      </c>
      <c r="E439" s="76">
        <v>43931</v>
      </c>
      <c r="F439" s="87" t="s">
        <v>74</v>
      </c>
      <c r="G439" s="126">
        <v>930446</v>
      </c>
      <c r="H439" s="129">
        <v>1701</v>
      </c>
      <c r="I439" s="15">
        <v>43891</v>
      </c>
      <c r="J439" s="15"/>
      <c r="K439" s="26">
        <v>47514</v>
      </c>
      <c r="L439" s="11">
        <v>125000</v>
      </c>
      <c r="M439" s="14">
        <f>-125000+125000</f>
        <v>0</v>
      </c>
      <c r="N439" s="13" t="s">
        <v>970</v>
      </c>
    </row>
    <row r="440" spans="1:18">
      <c r="A440" t="s">
        <v>664</v>
      </c>
      <c r="B440" s="114">
        <v>12327</v>
      </c>
      <c r="C440" s="36" t="s">
        <v>206</v>
      </c>
      <c r="D440" s="114">
        <v>216338</v>
      </c>
      <c r="E440" s="76">
        <v>43930</v>
      </c>
      <c r="F440" s="87" t="s">
        <v>1235</v>
      </c>
      <c r="G440" s="126">
        <v>930460</v>
      </c>
      <c r="H440" s="129">
        <v>1729</v>
      </c>
      <c r="I440" s="15">
        <v>43860</v>
      </c>
      <c r="J440" s="15"/>
      <c r="K440" s="21">
        <v>44226</v>
      </c>
      <c r="L440" s="11">
        <v>22000</v>
      </c>
      <c r="M440" s="14">
        <f>-22000+22000</f>
        <v>0</v>
      </c>
      <c r="N440" s="13" t="s">
        <v>986</v>
      </c>
    </row>
    <row r="441" spans="1:18">
      <c r="A441" t="s">
        <v>664</v>
      </c>
      <c r="B441" s="114">
        <v>12327</v>
      </c>
      <c r="C441" s="36" t="s">
        <v>206</v>
      </c>
      <c r="D441" s="114">
        <v>218686</v>
      </c>
      <c r="E441" s="76">
        <v>44013</v>
      </c>
      <c r="F441" s="87" t="s">
        <v>1261</v>
      </c>
      <c r="G441" s="126">
        <v>929321</v>
      </c>
      <c r="H441" s="129">
        <v>1234</v>
      </c>
      <c r="I441" s="49">
        <v>43800</v>
      </c>
      <c r="J441" s="49"/>
      <c r="K441" s="21">
        <v>44166</v>
      </c>
      <c r="L441" s="11">
        <v>235000</v>
      </c>
      <c r="M441" s="14">
        <f>-235000+235000</f>
        <v>0</v>
      </c>
      <c r="N441" s="13" t="s">
        <v>986</v>
      </c>
    </row>
    <row r="442" spans="1:18" ht="12.6" customHeight="1">
      <c r="A442" s="5" t="s">
        <v>664</v>
      </c>
      <c r="B442" s="116">
        <v>12330</v>
      </c>
      <c r="C442" s="58" t="s">
        <v>1202</v>
      </c>
      <c r="D442" s="116">
        <v>215566</v>
      </c>
      <c r="E442" s="76">
        <v>43896</v>
      </c>
      <c r="F442" s="87" t="s">
        <v>1203</v>
      </c>
      <c r="G442" s="130">
        <v>929314</v>
      </c>
      <c r="H442" s="129" t="s">
        <v>1204</v>
      </c>
      <c r="I442" s="15">
        <v>43715</v>
      </c>
      <c r="J442" s="15"/>
      <c r="K442" s="26"/>
      <c r="L442" s="14">
        <v>1760000</v>
      </c>
      <c r="M442" s="14">
        <f>-1760000+1028304.45+1760000-459279.73-569024.72</f>
        <v>0</v>
      </c>
      <c r="N442" s="13"/>
    </row>
    <row r="443" spans="1:18">
      <c r="A443" t="s">
        <v>664</v>
      </c>
      <c r="B443" s="114">
        <v>12337</v>
      </c>
      <c r="C443" s="36" t="s">
        <v>1544</v>
      </c>
      <c r="D443" s="114">
        <v>219372</v>
      </c>
      <c r="E443" s="76">
        <v>44286</v>
      </c>
      <c r="F443" s="87" t="s">
        <v>1545</v>
      </c>
      <c r="G443" s="126">
        <v>912685</v>
      </c>
      <c r="H443" s="129" t="s">
        <v>1547</v>
      </c>
      <c r="I443" s="19">
        <v>43891</v>
      </c>
      <c r="J443" s="19"/>
      <c r="K443" s="26"/>
      <c r="L443" s="11">
        <v>150000</v>
      </c>
      <c r="M443" s="14">
        <v>-150000</v>
      </c>
      <c r="N443" s="13" t="s">
        <v>970</v>
      </c>
      <c r="Q443" s="193"/>
      <c r="R443" s="193"/>
    </row>
    <row r="444" spans="1:18">
      <c r="A444" t="s">
        <v>664</v>
      </c>
      <c r="B444" s="114">
        <v>12337</v>
      </c>
      <c r="C444" s="36" t="s">
        <v>1544</v>
      </c>
      <c r="D444" s="114">
        <v>220761</v>
      </c>
      <c r="E444" s="76">
        <v>44286</v>
      </c>
      <c r="F444" s="87" t="s">
        <v>1546</v>
      </c>
      <c r="G444" s="126">
        <v>931947</v>
      </c>
      <c r="H444" s="129" t="s">
        <v>907</v>
      </c>
      <c r="I444" s="19">
        <v>44172</v>
      </c>
      <c r="J444" s="19"/>
      <c r="K444" s="26"/>
      <c r="L444" s="11">
        <v>800000</v>
      </c>
      <c r="M444" s="14">
        <v>-800000</v>
      </c>
      <c r="N444" s="13" t="s">
        <v>1783</v>
      </c>
      <c r="Q444" s="193"/>
      <c r="R444" s="193"/>
    </row>
    <row r="445" spans="1:18">
      <c r="A445" s="5" t="s">
        <v>664</v>
      </c>
      <c r="B445" s="116">
        <v>12337</v>
      </c>
      <c r="C445" s="58" t="s">
        <v>1544</v>
      </c>
      <c r="D445" s="116">
        <v>222965</v>
      </c>
      <c r="E445" s="87">
        <v>44561</v>
      </c>
      <c r="F445" s="87" t="s">
        <v>640</v>
      </c>
      <c r="G445" s="130">
        <v>934658</v>
      </c>
      <c r="H445" s="129" t="s">
        <v>905</v>
      </c>
      <c r="I445" s="27">
        <v>44470</v>
      </c>
      <c r="K445" s="15"/>
      <c r="L445" s="14">
        <v>373270.24</v>
      </c>
      <c r="M445" s="14">
        <f>186635.12-373270.24</f>
        <v>-186635.12</v>
      </c>
      <c r="N445" s="13"/>
      <c r="Q445" s="197"/>
      <c r="R445" s="197"/>
    </row>
    <row r="446" spans="1:18">
      <c r="A446" s="5" t="s">
        <v>664</v>
      </c>
      <c r="B446" s="116">
        <v>12337</v>
      </c>
      <c r="C446" s="58" t="s">
        <v>1544</v>
      </c>
      <c r="D446" s="116">
        <v>222964</v>
      </c>
      <c r="E446" s="87">
        <v>44561</v>
      </c>
      <c r="F446" s="87" t="s">
        <v>2536</v>
      </c>
      <c r="G446" s="130"/>
      <c r="H446" s="129"/>
      <c r="K446" s="15"/>
      <c r="L446" s="14">
        <v>900000</v>
      </c>
      <c r="M446" s="14">
        <v>-900000</v>
      </c>
      <c r="N446" s="13"/>
      <c r="Q446" s="197"/>
      <c r="R446" s="197"/>
    </row>
    <row r="447" spans="1:18">
      <c r="A447" s="5" t="s">
        <v>664</v>
      </c>
      <c r="B447" s="116">
        <v>12337</v>
      </c>
      <c r="C447" s="58" t="s">
        <v>1544</v>
      </c>
      <c r="D447" s="116">
        <v>221150</v>
      </c>
      <c r="E447" s="76">
        <v>44287</v>
      </c>
      <c r="F447" s="87" t="s">
        <v>831</v>
      </c>
      <c r="G447" s="130">
        <v>934384</v>
      </c>
      <c r="H447" s="129" t="s">
        <v>906</v>
      </c>
      <c r="I447" s="27">
        <v>44470</v>
      </c>
      <c r="K447" s="26"/>
      <c r="L447" s="14">
        <v>110000</v>
      </c>
      <c r="M447" s="14">
        <f>55000-110000</f>
        <v>-55000</v>
      </c>
      <c r="N447" s="52"/>
      <c r="Q447" s="197"/>
      <c r="R447" s="197"/>
    </row>
    <row r="448" spans="1:18">
      <c r="A448" t="s">
        <v>664</v>
      </c>
      <c r="B448" s="114">
        <v>13010</v>
      </c>
      <c r="C448" s="36" t="s">
        <v>600</v>
      </c>
      <c r="D448" s="114" t="s">
        <v>78</v>
      </c>
      <c r="E448" s="76">
        <v>38322</v>
      </c>
      <c r="F448" t="s">
        <v>77</v>
      </c>
      <c r="G448" s="126" t="s">
        <v>78</v>
      </c>
      <c r="H448" s="129" t="s">
        <v>78</v>
      </c>
      <c r="I448" s="65" t="s">
        <v>78</v>
      </c>
      <c r="J448" s="65"/>
      <c r="K448" s="32" t="s">
        <v>78</v>
      </c>
      <c r="L448" s="11"/>
      <c r="M448" s="14">
        <v>29687.5</v>
      </c>
      <c r="N448" s="143" t="s">
        <v>79</v>
      </c>
    </row>
    <row r="449" spans="1:18">
      <c r="A449" t="s">
        <v>664</v>
      </c>
      <c r="B449" s="114">
        <v>13011</v>
      </c>
      <c r="C449" s="36" t="s">
        <v>601</v>
      </c>
      <c r="D449" s="114" t="s">
        <v>78</v>
      </c>
      <c r="E449" s="65">
        <v>38322</v>
      </c>
      <c r="F449" t="s">
        <v>77</v>
      </c>
      <c r="G449" s="126" t="s">
        <v>78</v>
      </c>
      <c r="H449" s="129" t="s">
        <v>78</v>
      </c>
      <c r="I449" s="65" t="s">
        <v>78</v>
      </c>
      <c r="J449" s="65"/>
      <c r="K449" s="32" t="s">
        <v>78</v>
      </c>
      <c r="L449" s="11"/>
      <c r="M449" s="14">
        <v>237500</v>
      </c>
      <c r="N449" s="143" t="s">
        <v>79</v>
      </c>
    </row>
    <row r="450" spans="1:18">
      <c r="B450" s="114"/>
      <c r="D450" s="114"/>
      <c r="E450" s="65"/>
      <c r="F450"/>
      <c r="G450" s="126"/>
      <c r="H450" s="129"/>
      <c r="I450" s="65"/>
      <c r="J450" s="65"/>
      <c r="K450" s="26"/>
      <c r="L450" s="240"/>
      <c r="M450" s="190"/>
      <c r="N450" s="13"/>
    </row>
    <row r="451" spans="1:18" s="6" customFormat="1" ht="13.5" thickBot="1">
      <c r="B451" s="120">
        <f>COUNT(B9:B449)</f>
        <v>441</v>
      </c>
      <c r="C451" s="1" t="s">
        <v>870</v>
      </c>
      <c r="D451" s="24"/>
      <c r="E451" s="68"/>
      <c r="F451" s="18"/>
      <c r="G451" s="123"/>
      <c r="H451" s="118"/>
      <c r="I451" s="45"/>
      <c r="J451" s="45"/>
      <c r="K451" s="177" t="s">
        <v>712</v>
      </c>
      <c r="L451" s="173"/>
      <c r="M451" s="83">
        <f>SUM(M9:M449)</f>
        <v>-49669302.170000002</v>
      </c>
      <c r="N451" s="25"/>
      <c r="P451" s="198"/>
      <c r="Q451" s="198"/>
      <c r="R451" s="198"/>
    </row>
    <row r="452" spans="1:18" s="6" customFormat="1" ht="13.5" thickTop="1">
      <c r="B452" s="17"/>
      <c r="C452" s="36"/>
      <c r="D452" s="24"/>
      <c r="E452" s="69"/>
      <c r="G452" s="123"/>
      <c r="H452" s="127"/>
      <c r="I452" s="12"/>
      <c r="J452" s="12"/>
      <c r="K452" s="178" t="s">
        <v>729</v>
      </c>
      <c r="L452" s="80"/>
      <c r="M452" s="81"/>
      <c r="N452" s="61"/>
      <c r="P452" s="194"/>
      <c r="Q452" s="194"/>
      <c r="R452" s="194"/>
    </row>
    <row r="453" spans="1:18" s="5" customFormat="1">
      <c r="D453" s="59" t="s">
        <v>956</v>
      </c>
      <c r="E453" s="79"/>
      <c r="G453" s="123"/>
      <c r="H453" s="116"/>
      <c r="I453" s="27"/>
      <c r="J453" s="27"/>
      <c r="K453" s="60"/>
      <c r="L453" s="174"/>
      <c r="M453" s="155">
        <f>'Center Balance'!B48</f>
        <v>-49669302.170000002</v>
      </c>
      <c r="N453" s="57"/>
      <c r="P453" s="197"/>
      <c r="Q453" s="197"/>
      <c r="R453" s="197"/>
    </row>
    <row r="454" spans="1:18" s="5" customFormat="1">
      <c r="B454" s="6"/>
      <c r="C454" s="58"/>
      <c r="D454" s="24"/>
      <c r="E454" s="75"/>
      <c r="G454" s="123"/>
      <c r="H454" s="116"/>
      <c r="I454" s="27"/>
      <c r="J454" s="27"/>
      <c r="K454" s="60"/>
      <c r="L454" s="174"/>
      <c r="M454" s="84">
        <f>M453-M451</f>
        <v>0</v>
      </c>
      <c r="N454" s="57"/>
      <c r="P454" s="197"/>
      <c r="Q454" s="197"/>
      <c r="R454" s="197"/>
    </row>
    <row r="455" spans="1:18" s="5" customFormat="1">
      <c r="B455" s="6"/>
      <c r="C455" s="58"/>
      <c r="D455" s="24"/>
      <c r="E455" s="75"/>
      <c r="G455" s="123"/>
      <c r="H455" s="116"/>
      <c r="I455" s="27"/>
      <c r="J455" s="27"/>
      <c r="K455" s="60"/>
      <c r="L455" s="174"/>
      <c r="M455" s="85"/>
      <c r="N455" s="57"/>
      <c r="P455" s="197"/>
      <c r="Q455" s="197"/>
      <c r="R455" s="197"/>
    </row>
    <row r="456" spans="1:18" s="5" customFormat="1">
      <c r="B456" s="6"/>
      <c r="C456" s="58"/>
      <c r="D456" s="24"/>
      <c r="E456" s="75"/>
      <c r="G456" s="123"/>
      <c r="H456" s="116"/>
      <c r="I456" s="27"/>
      <c r="J456" s="27"/>
      <c r="K456" s="27"/>
      <c r="L456" s="172"/>
      <c r="M456" s="93"/>
      <c r="N456" s="57"/>
      <c r="P456" s="197"/>
      <c r="Q456" s="197"/>
      <c r="R456" s="197"/>
    </row>
    <row r="457" spans="1:18" s="5" customFormat="1" ht="14.25">
      <c r="B457" s="43"/>
      <c r="C457" s="58"/>
      <c r="D457" s="24"/>
      <c r="E457" s="75"/>
      <c r="G457" s="123"/>
      <c r="H457" s="116"/>
      <c r="I457" s="27" t="s">
        <v>2747</v>
      </c>
      <c r="J457" s="27"/>
      <c r="K457" s="27"/>
      <c r="L457" s="172"/>
      <c r="M457" s="11"/>
      <c r="N457" s="57"/>
      <c r="P457" s="197"/>
      <c r="Q457" s="197"/>
      <c r="R457" s="197"/>
    </row>
    <row r="458" spans="1:18" s="5" customFormat="1">
      <c r="B458" s="9"/>
      <c r="C458" s="36"/>
      <c r="D458" s="24"/>
      <c r="E458" s="78"/>
      <c r="G458" s="123"/>
      <c r="H458" s="114"/>
      <c r="I458" s="27"/>
      <c r="J458" s="27"/>
      <c r="K458" s="27"/>
      <c r="L458" s="172"/>
      <c r="M458" s="11"/>
      <c r="N458" s="38"/>
      <c r="P458" s="197"/>
      <c r="Q458" s="197"/>
      <c r="R458" s="197"/>
    </row>
    <row r="459" spans="1:18" s="5" customFormat="1">
      <c r="B459" s="9"/>
      <c r="C459" s="36"/>
      <c r="D459" s="24"/>
      <c r="E459" s="78"/>
      <c r="G459" s="123"/>
      <c r="H459" s="114"/>
      <c r="I459" s="27"/>
      <c r="J459" s="27"/>
      <c r="K459" s="27"/>
      <c r="L459" s="172"/>
      <c r="M459" s="11"/>
      <c r="N459" s="38"/>
      <c r="P459" s="197"/>
      <c r="Q459" s="197"/>
      <c r="R459" s="197"/>
    </row>
    <row r="460" spans="1:18" s="5" customFormat="1">
      <c r="B460" s="9"/>
      <c r="C460" s="36"/>
      <c r="D460" s="24"/>
      <c r="E460" s="78"/>
      <c r="G460" s="123"/>
      <c r="H460" s="114"/>
      <c r="I460" s="27"/>
      <c r="J460" s="27"/>
      <c r="K460" s="27"/>
      <c r="L460" s="172"/>
      <c r="M460" s="11"/>
      <c r="N460" s="38"/>
      <c r="P460" s="197"/>
      <c r="Q460" s="197"/>
      <c r="R460" s="197"/>
    </row>
    <row r="461" spans="1:18" s="5" customFormat="1">
      <c r="B461" s="9"/>
      <c r="C461" s="36"/>
      <c r="D461" s="24"/>
      <c r="E461" s="78"/>
      <c r="G461" s="123"/>
      <c r="H461" s="114"/>
      <c r="I461" s="27"/>
      <c r="J461" s="27"/>
      <c r="K461" s="27"/>
      <c r="L461" s="172"/>
      <c r="M461" s="11"/>
      <c r="N461" s="38"/>
      <c r="P461" s="197"/>
      <c r="Q461" s="197"/>
      <c r="R461" s="197"/>
    </row>
    <row r="462" spans="1:18" s="5" customFormat="1">
      <c r="B462" s="9"/>
      <c r="C462" s="36"/>
      <c r="D462" s="24"/>
      <c r="E462" s="78"/>
      <c r="G462" s="123"/>
      <c r="H462" s="114"/>
      <c r="I462" s="27"/>
      <c r="J462" s="27"/>
      <c r="K462" s="27"/>
      <c r="L462" s="172"/>
      <c r="M462" s="11"/>
      <c r="N462" s="38"/>
      <c r="P462" s="197"/>
      <c r="Q462" s="197"/>
      <c r="R462" s="197"/>
    </row>
    <row r="463" spans="1:18" s="5" customFormat="1">
      <c r="B463" s="51"/>
      <c r="C463" s="54"/>
      <c r="D463" s="24"/>
      <c r="E463" s="78"/>
      <c r="F463" s="6"/>
      <c r="G463" s="123"/>
      <c r="H463" s="135"/>
      <c r="I463" s="27"/>
      <c r="J463" s="27"/>
      <c r="K463" s="27"/>
      <c r="L463" s="172"/>
      <c r="M463" s="11"/>
      <c r="N463" s="25"/>
      <c r="P463" s="197"/>
      <c r="Q463" s="197"/>
      <c r="R463" s="197"/>
    </row>
    <row r="464" spans="1:18" s="5" customFormat="1">
      <c r="B464" s="23"/>
      <c r="C464" s="36"/>
      <c r="D464" s="24"/>
      <c r="E464" s="78"/>
      <c r="F464"/>
      <c r="G464" s="123"/>
      <c r="H464" s="114"/>
      <c r="I464" s="27"/>
      <c r="J464" s="27"/>
      <c r="K464" s="27"/>
      <c r="L464" s="172"/>
      <c r="M464" s="8"/>
      <c r="N464" s="38"/>
      <c r="P464" s="197"/>
      <c r="Q464" s="197"/>
      <c r="R464" s="197"/>
    </row>
    <row r="465" spans="2:18" s="5" customFormat="1">
      <c r="B465" s="23"/>
      <c r="C465" s="36"/>
      <c r="D465" s="24"/>
      <c r="E465" s="78"/>
      <c r="F465"/>
      <c r="G465" s="123"/>
      <c r="H465" s="114"/>
      <c r="I465" s="27"/>
      <c r="J465" s="27"/>
      <c r="K465" s="27"/>
      <c r="L465" s="172"/>
      <c r="M465" s="42"/>
      <c r="N465" s="38"/>
      <c r="P465" s="197"/>
      <c r="Q465" s="197"/>
      <c r="R465" s="197"/>
    </row>
    <row r="466" spans="2:18" s="5" customFormat="1">
      <c r="B466" s="9"/>
      <c r="C466" s="36"/>
      <c r="D466" s="24"/>
      <c r="E466" s="78"/>
      <c r="G466" s="123"/>
      <c r="H466" s="114"/>
      <c r="I466" s="27"/>
      <c r="J466" s="27"/>
      <c r="K466" s="27"/>
      <c r="L466" s="172"/>
      <c r="M466" s="42"/>
      <c r="N466" s="38"/>
      <c r="P466" s="197"/>
      <c r="Q466" s="197"/>
      <c r="R466" s="197"/>
    </row>
    <row r="467" spans="2:18" s="5" customFormat="1">
      <c r="B467" s="9"/>
      <c r="C467" s="36"/>
      <c r="D467" s="33"/>
      <c r="E467" s="78"/>
      <c r="G467" s="123"/>
      <c r="H467" s="114"/>
      <c r="I467" s="27"/>
      <c r="J467" s="27"/>
      <c r="K467" s="27"/>
      <c r="L467" s="172"/>
      <c r="M467" s="42"/>
      <c r="N467" s="38"/>
      <c r="P467" s="197"/>
      <c r="Q467" s="197"/>
      <c r="R467" s="197"/>
    </row>
    <row r="468" spans="2:18" s="5" customFormat="1">
      <c r="B468" s="9"/>
      <c r="C468" s="36"/>
      <c r="D468" s="33"/>
      <c r="E468" s="78"/>
      <c r="G468" s="123"/>
      <c r="H468" s="136"/>
      <c r="I468" s="27"/>
      <c r="J468" s="27"/>
      <c r="K468" s="27"/>
      <c r="L468" s="172"/>
      <c r="M468" s="42"/>
      <c r="N468" s="38"/>
      <c r="P468" s="197"/>
      <c r="Q468" s="197"/>
      <c r="R468" s="197"/>
    </row>
    <row r="469" spans="2:18" s="5" customFormat="1">
      <c r="B469" s="9"/>
      <c r="C469" s="36"/>
      <c r="D469" s="33"/>
      <c r="E469" s="78"/>
      <c r="G469" s="123"/>
      <c r="H469" s="114"/>
      <c r="I469" s="27"/>
      <c r="J469" s="27"/>
      <c r="K469" s="27"/>
      <c r="L469" s="172"/>
      <c r="M469" s="42"/>
      <c r="N469" s="38"/>
      <c r="P469" s="197"/>
      <c r="Q469" s="197"/>
      <c r="R469" s="197"/>
    </row>
    <row r="470" spans="2:18" s="5" customFormat="1">
      <c r="B470" s="9"/>
      <c r="C470" s="36"/>
      <c r="D470" s="33"/>
      <c r="E470" s="78"/>
      <c r="G470" s="123"/>
      <c r="H470" s="114"/>
      <c r="I470" s="27"/>
      <c r="J470" s="27"/>
      <c r="K470" s="27"/>
      <c r="L470" s="172"/>
      <c r="M470" s="42"/>
      <c r="N470" s="38"/>
      <c r="P470" s="197"/>
      <c r="Q470" s="197"/>
      <c r="R470" s="197"/>
    </row>
    <row r="471" spans="2:18" s="5" customFormat="1">
      <c r="B471" s="9"/>
      <c r="C471" s="36"/>
      <c r="D471" s="33"/>
      <c r="E471" s="78"/>
      <c r="G471" s="123"/>
      <c r="H471" s="114"/>
      <c r="I471" s="27"/>
      <c r="J471" s="27"/>
      <c r="K471" s="27"/>
      <c r="L471" s="172"/>
      <c r="M471" s="42"/>
      <c r="N471" s="38"/>
      <c r="P471" s="197"/>
      <c r="Q471" s="197"/>
      <c r="R471" s="197"/>
    </row>
    <row r="472" spans="2:18" s="5" customFormat="1">
      <c r="B472" s="9"/>
      <c r="C472" s="36"/>
      <c r="D472" s="33"/>
      <c r="E472" s="78"/>
      <c r="G472" s="123"/>
      <c r="H472" s="114"/>
      <c r="I472" s="27"/>
      <c r="J472" s="27"/>
      <c r="K472" s="27"/>
      <c r="L472" s="172"/>
      <c r="M472" s="42"/>
      <c r="N472" s="38"/>
      <c r="P472" s="197"/>
      <c r="Q472" s="197"/>
      <c r="R472" s="197"/>
    </row>
    <row r="473" spans="2:18" s="5" customFormat="1">
      <c r="B473" s="9"/>
      <c r="C473" s="36"/>
      <c r="D473" s="33"/>
      <c r="E473" s="78"/>
      <c r="G473" s="123"/>
      <c r="H473" s="114"/>
      <c r="I473" s="27"/>
      <c r="J473" s="27"/>
      <c r="K473" s="27"/>
      <c r="L473" s="172"/>
      <c r="M473" s="42"/>
      <c r="N473" s="38"/>
      <c r="P473" s="197"/>
      <c r="Q473" s="197"/>
      <c r="R473" s="197"/>
    </row>
    <row r="474" spans="2:18" s="5" customFormat="1">
      <c r="B474" s="9"/>
      <c r="C474" s="36"/>
      <c r="D474" s="33"/>
      <c r="E474" s="78"/>
      <c r="G474" s="123"/>
      <c r="H474" s="114"/>
      <c r="I474" s="27"/>
      <c r="J474" s="27"/>
      <c r="K474" s="27"/>
      <c r="L474" s="172"/>
      <c r="M474" s="42"/>
      <c r="N474" s="38"/>
      <c r="P474" s="197"/>
      <c r="Q474" s="197"/>
      <c r="R474" s="197"/>
    </row>
    <row r="475" spans="2:18" s="5" customFormat="1">
      <c r="B475" s="9"/>
      <c r="C475" s="36"/>
      <c r="D475" s="33"/>
      <c r="E475" s="78"/>
      <c r="G475" s="123"/>
      <c r="H475" s="114"/>
      <c r="I475" s="27"/>
      <c r="J475" s="27"/>
      <c r="K475" s="27"/>
      <c r="L475" s="172"/>
      <c r="M475" s="42"/>
      <c r="N475" s="38"/>
      <c r="P475" s="197"/>
      <c r="Q475" s="197"/>
      <c r="R475" s="197"/>
    </row>
    <row r="476" spans="2:18" s="5" customFormat="1">
      <c r="B476" s="9"/>
      <c r="C476" s="36"/>
      <c r="D476" s="33"/>
      <c r="E476" s="78"/>
      <c r="G476" s="123"/>
      <c r="H476" s="114"/>
      <c r="I476" s="27"/>
      <c r="J476" s="27"/>
      <c r="K476" s="27"/>
      <c r="L476" s="172"/>
      <c r="M476" s="42"/>
      <c r="N476" s="38"/>
      <c r="P476" s="197"/>
      <c r="Q476" s="197"/>
      <c r="R476" s="197"/>
    </row>
    <row r="477" spans="2:18" s="5" customFormat="1">
      <c r="B477" s="9"/>
      <c r="C477" s="36"/>
      <c r="D477" s="23"/>
      <c r="E477" s="78"/>
      <c r="G477" s="123"/>
      <c r="H477" s="114"/>
      <c r="I477" s="27"/>
      <c r="J477" s="27"/>
      <c r="K477" s="27"/>
      <c r="L477" s="172"/>
      <c r="M477" s="42"/>
      <c r="N477" s="38"/>
      <c r="P477" s="197"/>
      <c r="Q477" s="197"/>
      <c r="R477" s="197"/>
    </row>
    <row r="478" spans="2:18" s="5" customFormat="1">
      <c r="B478"/>
      <c r="C478" s="36"/>
      <c r="D478" s="23"/>
      <c r="E478" s="78"/>
      <c r="G478" s="123"/>
      <c r="H478" s="114"/>
      <c r="I478" s="27"/>
      <c r="J478" s="27"/>
      <c r="K478" s="27"/>
      <c r="L478" s="172"/>
      <c r="M478" s="42"/>
      <c r="N478" s="38"/>
      <c r="P478" s="197"/>
      <c r="Q478" s="197"/>
      <c r="R478" s="197"/>
    </row>
    <row r="479" spans="2:18" s="5" customFormat="1">
      <c r="B479"/>
      <c r="C479" s="36"/>
      <c r="D479" s="23"/>
      <c r="E479" s="78"/>
      <c r="G479" s="123"/>
      <c r="H479" s="114"/>
      <c r="I479" s="27"/>
      <c r="J479" s="27"/>
      <c r="K479" s="27"/>
      <c r="L479" s="172"/>
      <c r="M479" s="42"/>
      <c r="N479" s="38"/>
      <c r="P479" s="197"/>
      <c r="Q479" s="197"/>
      <c r="R479" s="197"/>
    </row>
    <row r="480" spans="2:18" s="5" customFormat="1">
      <c r="B480"/>
      <c r="C480" s="36"/>
      <c r="D480" s="23"/>
      <c r="E480" s="78"/>
      <c r="G480" s="123"/>
      <c r="H480" s="114"/>
      <c r="I480" s="27"/>
      <c r="J480" s="27"/>
      <c r="K480" s="27"/>
      <c r="L480" s="172"/>
      <c r="M480" s="42"/>
      <c r="N480" s="38"/>
      <c r="P480" s="197"/>
      <c r="Q480" s="197"/>
      <c r="R480" s="197"/>
    </row>
    <row r="481" spans="2:18" s="5" customFormat="1">
      <c r="B481"/>
      <c r="C481" s="36"/>
      <c r="D481" s="23"/>
      <c r="E481" s="78"/>
      <c r="G481" s="123"/>
      <c r="H481" s="114"/>
      <c r="I481" s="27"/>
      <c r="J481" s="27"/>
      <c r="K481" s="27"/>
      <c r="L481" s="172"/>
      <c r="M481" s="42"/>
      <c r="N481" s="38"/>
      <c r="P481" s="197"/>
      <c r="Q481" s="197"/>
      <c r="R481" s="197"/>
    </row>
    <row r="482" spans="2:18" s="5" customFormat="1">
      <c r="B482"/>
      <c r="C482" s="36"/>
      <c r="D482" s="23"/>
      <c r="E482" s="78"/>
      <c r="G482" s="123"/>
      <c r="H482" s="114"/>
      <c r="I482" s="27"/>
      <c r="J482" s="27"/>
      <c r="K482" s="27"/>
      <c r="L482" s="172"/>
      <c r="M482" s="42"/>
      <c r="N482" s="38"/>
      <c r="P482" s="197"/>
      <c r="Q482" s="197"/>
      <c r="R482" s="197"/>
    </row>
    <row r="483" spans="2:18" s="5" customFormat="1">
      <c r="B483"/>
      <c r="C483" s="36"/>
      <c r="D483" s="23"/>
      <c r="E483" s="78"/>
      <c r="G483" s="123"/>
      <c r="H483" s="114"/>
      <c r="I483" s="27"/>
      <c r="J483" s="27"/>
      <c r="K483" s="27"/>
      <c r="L483" s="172"/>
      <c r="M483" s="42"/>
      <c r="N483" s="38"/>
      <c r="P483" s="197"/>
      <c r="Q483" s="197"/>
      <c r="R483" s="197"/>
    </row>
    <row r="484" spans="2:18" s="5" customFormat="1">
      <c r="B484"/>
      <c r="C484" s="36"/>
      <c r="D484" s="23"/>
      <c r="E484" s="78"/>
      <c r="G484" s="123"/>
      <c r="H484" s="114"/>
      <c r="I484" s="27"/>
      <c r="J484" s="27"/>
      <c r="K484" s="27"/>
      <c r="L484" s="172"/>
      <c r="M484" s="42"/>
      <c r="N484" s="38"/>
      <c r="P484" s="197"/>
      <c r="Q484" s="197"/>
      <c r="R484" s="197"/>
    </row>
    <row r="485" spans="2:18" s="5" customFormat="1">
      <c r="B485"/>
      <c r="C485" s="36"/>
      <c r="D485" s="23"/>
      <c r="E485" s="78"/>
      <c r="G485" s="123"/>
      <c r="H485" s="114"/>
      <c r="I485" s="27"/>
      <c r="J485" s="27"/>
      <c r="K485" s="27"/>
      <c r="L485" s="172"/>
      <c r="M485" s="42"/>
      <c r="N485" s="38"/>
      <c r="P485" s="197"/>
      <c r="Q485" s="197"/>
      <c r="R485" s="197"/>
    </row>
    <row r="486" spans="2:18" s="5" customFormat="1">
      <c r="B486"/>
      <c r="C486" s="36"/>
      <c r="D486" s="23"/>
      <c r="E486" s="78"/>
      <c r="G486" s="123"/>
      <c r="H486" s="114"/>
      <c r="I486" s="27"/>
      <c r="J486" s="27"/>
      <c r="K486" s="27"/>
      <c r="L486" s="172"/>
      <c r="M486" s="42"/>
      <c r="N486" s="38"/>
      <c r="P486" s="197"/>
      <c r="Q486" s="197"/>
      <c r="R486" s="197"/>
    </row>
    <row r="487" spans="2:18" s="5" customFormat="1">
      <c r="B487"/>
      <c r="C487" s="36"/>
      <c r="D487" s="23"/>
      <c r="E487" s="78"/>
      <c r="G487" s="123"/>
      <c r="H487" s="114"/>
      <c r="I487" s="27"/>
      <c r="J487" s="27"/>
      <c r="K487" s="27"/>
      <c r="L487" s="172"/>
      <c r="M487" s="42"/>
      <c r="N487" s="38"/>
      <c r="P487" s="197"/>
      <c r="Q487" s="197"/>
      <c r="R487" s="197"/>
    </row>
    <row r="488" spans="2:18" s="5" customFormat="1">
      <c r="B488"/>
      <c r="C488" s="36"/>
      <c r="D488" s="23"/>
      <c r="E488" s="78"/>
      <c r="G488" s="123"/>
      <c r="H488" s="114"/>
      <c r="I488" s="27"/>
      <c r="J488" s="27"/>
      <c r="K488" s="27"/>
      <c r="L488" s="172"/>
      <c r="M488" s="42"/>
      <c r="N488" s="38"/>
      <c r="P488" s="197"/>
      <c r="Q488" s="197"/>
      <c r="R488" s="197"/>
    </row>
    <row r="489" spans="2:18" s="5" customFormat="1">
      <c r="B489"/>
      <c r="C489" s="36"/>
      <c r="D489" s="23"/>
      <c r="E489" s="78"/>
      <c r="G489" s="123"/>
      <c r="H489" s="114"/>
      <c r="I489" s="27"/>
      <c r="J489" s="27"/>
      <c r="K489" s="27"/>
      <c r="L489" s="172"/>
      <c r="M489" s="42"/>
      <c r="N489" s="38"/>
      <c r="P489" s="197"/>
      <c r="Q489" s="197"/>
      <c r="R489" s="197"/>
    </row>
    <row r="490" spans="2:18" s="5" customFormat="1">
      <c r="B490"/>
      <c r="C490" s="36"/>
      <c r="D490" s="23"/>
      <c r="E490" s="78"/>
      <c r="G490" s="123"/>
      <c r="H490" s="114"/>
      <c r="I490" s="27"/>
      <c r="J490" s="27"/>
      <c r="K490" s="27"/>
      <c r="L490" s="172"/>
      <c r="M490" s="42"/>
      <c r="N490" s="38"/>
      <c r="P490" s="197"/>
      <c r="Q490" s="197"/>
      <c r="R490" s="197"/>
    </row>
    <row r="491" spans="2:18" s="5" customFormat="1">
      <c r="B491"/>
      <c r="C491" s="36"/>
      <c r="D491" s="23"/>
      <c r="E491" s="78"/>
      <c r="G491" s="123"/>
      <c r="H491" s="114"/>
      <c r="I491" s="27"/>
      <c r="J491" s="27"/>
      <c r="K491" s="27"/>
      <c r="L491" s="172"/>
      <c r="M491" s="42"/>
      <c r="N491" s="38"/>
      <c r="P491" s="197"/>
      <c r="Q491" s="197"/>
      <c r="R491" s="197"/>
    </row>
    <row r="492" spans="2:18" s="5" customFormat="1">
      <c r="B492"/>
      <c r="C492" s="36"/>
      <c r="D492" s="23"/>
      <c r="E492" s="78"/>
      <c r="G492" s="123"/>
      <c r="H492" s="114"/>
      <c r="I492" s="27"/>
      <c r="J492" s="27"/>
      <c r="K492" s="27"/>
      <c r="L492" s="172"/>
      <c r="M492" s="42"/>
      <c r="N492" s="38"/>
      <c r="P492" s="197"/>
      <c r="Q492" s="197"/>
      <c r="R492" s="197"/>
    </row>
    <row r="493" spans="2:18" s="5" customFormat="1">
      <c r="B493"/>
      <c r="C493" s="36"/>
      <c r="D493" s="23"/>
      <c r="E493" s="78"/>
      <c r="G493" s="123"/>
      <c r="H493" s="114"/>
      <c r="I493" s="27"/>
      <c r="J493" s="27"/>
      <c r="K493" s="27"/>
      <c r="L493" s="172"/>
      <c r="M493" s="42"/>
      <c r="N493" s="38"/>
      <c r="P493" s="197"/>
      <c r="Q493" s="197"/>
      <c r="R493" s="197"/>
    </row>
    <row r="494" spans="2:18" s="5" customFormat="1">
      <c r="B494"/>
      <c r="C494" s="36"/>
      <c r="D494" s="23"/>
      <c r="E494" s="78"/>
      <c r="G494" s="123"/>
      <c r="H494" s="114"/>
      <c r="I494" s="27"/>
      <c r="J494" s="27"/>
      <c r="K494" s="27"/>
      <c r="L494" s="172"/>
      <c r="M494" s="42"/>
      <c r="N494" s="38"/>
      <c r="P494" s="197"/>
      <c r="Q494" s="197"/>
      <c r="R494" s="197"/>
    </row>
    <row r="495" spans="2:18" s="5" customFormat="1">
      <c r="B495"/>
      <c r="C495" s="36"/>
      <c r="D495" s="23"/>
      <c r="E495" s="78"/>
      <c r="G495" s="123"/>
      <c r="H495" s="114"/>
      <c r="I495" s="27"/>
      <c r="J495" s="27"/>
      <c r="K495" s="27"/>
      <c r="L495" s="172"/>
      <c r="M495" s="42"/>
      <c r="N495" s="38"/>
      <c r="P495" s="197"/>
      <c r="Q495" s="197"/>
      <c r="R495" s="197"/>
    </row>
    <row r="496" spans="2:18" s="5" customFormat="1">
      <c r="B496"/>
      <c r="C496" s="36"/>
      <c r="D496" s="23"/>
      <c r="E496" s="78"/>
      <c r="G496" s="123"/>
      <c r="H496" s="114"/>
      <c r="I496" s="27"/>
      <c r="J496" s="27"/>
      <c r="K496" s="27"/>
      <c r="L496" s="172"/>
      <c r="M496" s="42"/>
      <c r="N496" s="38"/>
      <c r="P496" s="197"/>
      <c r="Q496" s="197"/>
      <c r="R496" s="197"/>
    </row>
    <row r="497" spans="2:18" s="5" customFormat="1">
      <c r="B497"/>
      <c r="C497" s="36"/>
      <c r="D497" s="23"/>
      <c r="E497" s="78"/>
      <c r="G497" s="123"/>
      <c r="H497" s="114"/>
      <c r="I497" s="27"/>
      <c r="J497" s="27"/>
      <c r="K497" s="27"/>
      <c r="L497" s="172"/>
      <c r="M497" s="42"/>
      <c r="N497" s="38"/>
      <c r="P497" s="197"/>
      <c r="Q497" s="197"/>
      <c r="R497" s="197"/>
    </row>
    <row r="498" spans="2:18" s="5" customFormat="1">
      <c r="B498"/>
      <c r="C498" s="36"/>
      <c r="D498" s="23"/>
      <c r="E498" s="78"/>
      <c r="G498" s="123"/>
      <c r="H498" s="114"/>
      <c r="I498" s="27"/>
      <c r="J498" s="27"/>
      <c r="K498" s="27"/>
      <c r="L498" s="172"/>
      <c r="M498" s="42"/>
      <c r="N498" s="38"/>
      <c r="P498" s="197"/>
      <c r="Q498" s="197"/>
      <c r="R498" s="197"/>
    </row>
    <row r="499" spans="2:18" s="5" customFormat="1">
      <c r="B499"/>
      <c r="C499" s="36"/>
      <c r="D499" s="23"/>
      <c r="E499" s="78"/>
      <c r="G499" s="123"/>
      <c r="H499" s="114"/>
      <c r="I499" s="27"/>
      <c r="J499" s="27"/>
      <c r="K499" s="27"/>
      <c r="L499" s="172"/>
      <c r="M499" s="42"/>
      <c r="N499" s="38"/>
      <c r="P499" s="197"/>
      <c r="Q499" s="197"/>
      <c r="R499" s="197"/>
    </row>
    <row r="500" spans="2:18" s="5" customFormat="1">
      <c r="B500"/>
      <c r="C500" s="36"/>
      <c r="D500" s="23"/>
      <c r="E500" s="78"/>
      <c r="G500" s="123"/>
      <c r="H500" s="114"/>
      <c r="I500" s="27"/>
      <c r="J500" s="27"/>
      <c r="K500" s="27"/>
      <c r="L500" s="172"/>
      <c r="M500" s="42"/>
      <c r="N500" s="38"/>
      <c r="P500" s="197"/>
      <c r="Q500" s="197"/>
      <c r="R500" s="197"/>
    </row>
    <row r="501" spans="2:18" s="5" customFormat="1">
      <c r="B501"/>
      <c r="C501" s="36"/>
      <c r="D501" s="23"/>
      <c r="E501" s="78"/>
      <c r="G501" s="123"/>
      <c r="H501" s="114"/>
      <c r="I501" s="27"/>
      <c r="J501" s="27"/>
      <c r="K501" s="27"/>
      <c r="L501" s="172"/>
      <c r="M501" s="42"/>
      <c r="N501" s="38"/>
      <c r="P501" s="197"/>
      <c r="Q501" s="197"/>
      <c r="R501" s="197"/>
    </row>
    <row r="502" spans="2:18" s="5" customFormat="1">
      <c r="B502"/>
      <c r="C502" s="36"/>
      <c r="D502" s="23"/>
      <c r="E502" s="78"/>
      <c r="G502" s="123"/>
      <c r="H502" s="114"/>
      <c r="I502" s="27"/>
      <c r="J502" s="27"/>
      <c r="K502" s="27"/>
      <c r="L502" s="172"/>
      <c r="M502" s="42"/>
      <c r="N502" s="38"/>
      <c r="P502" s="197"/>
      <c r="Q502" s="197"/>
      <c r="R502" s="197"/>
    </row>
    <row r="503" spans="2:18" s="5" customFormat="1">
      <c r="B503"/>
      <c r="C503" s="36"/>
      <c r="D503" s="23"/>
      <c r="E503" s="78"/>
      <c r="G503" s="123"/>
      <c r="H503" s="114"/>
      <c r="I503" s="27"/>
      <c r="J503" s="27"/>
      <c r="K503" s="27"/>
      <c r="L503" s="172"/>
      <c r="M503" s="42"/>
      <c r="N503" s="38"/>
      <c r="P503" s="197"/>
      <c r="Q503" s="197"/>
      <c r="R503" s="197"/>
    </row>
    <row r="504" spans="2:18" s="5" customFormat="1">
      <c r="B504"/>
      <c r="C504" s="36"/>
      <c r="D504" s="23"/>
      <c r="E504" s="78"/>
      <c r="G504" s="123"/>
      <c r="H504" s="114"/>
      <c r="I504" s="27"/>
      <c r="J504" s="27"/>
      <c r="K504" s="27"/>
      <c r="L504" s="172"/>
      <c r="M504" s="42"/>
      <c r="N504" s="38"/>
      <c r="P504" s="197"/>
      <c r="Q504" s="197"/>
      <c r="R504" s="197"/>
    </row>
    <row r="505" spans="2:18" s="5" customFormat="1">
      <c r="B505"/>
      <c r="C505" s="36"/>
      <c r="D505" s="23"/>
      <c r="E505" s="78"/>
      <c r="G505" s="123"/>
      <c r="H505" s="114"/>
      <c r="I505" s="27"/>
      <c r="J505" s="27"/>
      <c r="K505" s="27"/>
      <c r="L505" s="172"/>
      <c r="M505" s="42"/>
      <c r="N505" s="38"/>
      <c r="P505" s="197"/>
      <c r="Q505" s="197"/>
      <c r="R505" s="197"/>
    </row>
    <row r="506" spans="2:18" s="5" customFormat="1">
      <c r="B506"/>
      <c r="C506" s="36"/>
      <c r="D506" s="23"/>
      <c r="E506" s="78"/>
      <c r="G506" s="123"/>
      <c r="H506" s="114"/>
      <c r="I506" s="27"/>
      <c r="J506" s="27"/>
      <c r="K506" s="27"/>
      <c r="L506" s="172"/>
      <c r="M506" s="42"/>
      <c r="N506" s="38"/>
      <c r="P506" s="197"/>
      <c r="Q506" s="197"/>
      <c r="R506" s="197"/>
    </row>
    <row r="507" spans="2:18" s="5" customFormat="1">
      <c r="B507"/>
      <c r="C507" s="36"/>
      <c r="D507" s="23"/>
      <c r="E507" s="78"/>
      <c r="G507" s="123"/>
      <c r="H507" s="114"/>
      <c r="I507" s="27"/>
      <c r="J507" s="27"/>
      <c r="K507" s="27"/>
      <c r="L507" s="172"/>
      <c r="M507" s="42"/>
      <c r="N507" s="38"/>
      <c r="P507" s="197"/>
      <c r="Q507" s="197"/>
      <c r="R507" s="197"/>
    </row>
    <row r="508" spans="2:18" s="5" customFormat="1">
      <c r="B508"/>
      <c r="C508" s="36"/>
      <c r="D508" s="23"/>
      <c r="E508" s="78"/>
      <c r="G508" s="123"/>
      <c r="H508" s="114"/>
      <c r="I508" s="27"/>
      <c r="J508" s="27"/>
      <c r="K508" s="27"/>
      <c r="L508" s="172"/>
      <c r="M508" s="42"/>
      <c r="N508" s="38"/>
      <c r="P508" s="197"/>
      <c r="Q508" s="197"/>
      <c r="R508" s="197"/>
    </row>
    <row r="509" spans="2:18" s="5" customFormat="1">
      <c r="B509"/>
      <c r="C509" s="36"/>
      <c r="D509" s="23"/>
      <c r="E509" s="78"/>
      <c r="G509" s="123"/>
      <c r="H509" s="114"/>
      <c r="I509" s="27"/>
      <c r="J509" s="27"/>
      <c r="K509" s="27"/>
      <c r="L509" s="172"/>
      <c r="M509" s="42"/>
      <c r="N509" s="38"/>
      <c r="P509" s="197"/>
      <c r="Q509" s="197"/>
      <c r="R509" s="197"/>
    </row>
    <row r="510" spans="2:18" s="5" customFormat="1">
      <c r="B510"/>
      <c r="C510" s="36"/>
      <c r="D510" s="23"/>
      <c r="E510" s="78"/>
      <c r="G510" s="123"/>
      <c r="H510" s="114"/>
      <c r="I510" s="27"/>
      <c r="J510" s="27"/>
      <c r="K510" s="27"/>
      <c r="L510" s="172"/>
      <c r="M510" s="42"/>
      <c r="N510" s="38"/>
      <c r="P510" s="197"/>
      <c r="Q510" s="197"/>
      <c r="R510" s="197"/>
    </row>
    <row r="511" spans="2:18" s="5" customFormat="1">
      <c r="B511"/>
      <c r="C511" s="36"/>
      <c r="D511" s="23"/>
      <c r="E511" s="78"/>
      <c r="G511" s="123"/>
      <c r="H511" s="114"/>
      <c r="I511" s="27"/>
      <c r="J511" s="27"/>
      <c r="K511" s="27"/>
      <c r="L511" s="172"/>
      <c r="M511" s="42"/>
      <c r="N511" s="38"/>
      <c r="P511" s="197"/>
      <c r="Q511" s="197"/>
      <c r="R511" s="197"/>
    </row>
    <row r="512" spans="2:18" s="5" customFormat="1">
      <c r="B512"/>
      <c r="C512" s="36"/>
      <c r="D512" s="23"/>
      <c r="E512" s="78"/>
      <c r="G512" s="123"/>
      <c r="H512" s="114"/>
      <c r="I512" s="27"/>
      <c r="J512" s="27"/>
      <c r="K512" s="27"/>
      <c r="L512" s="172"/>
      <c r="M512" s="42"/>
      <c r="N512" s="38"/>
      <c r="P512" s="197"/>
      <c r="Q512" s="197"/>
      <c r="R512" s="197"/>
    </row>
    <row r="513" spans="2:18" s="5" customFormat="1">
      <c r="B513"/>
      <c r="C513" s="36"/>
      <c r="D513" s="23"/>
      <c r="E513" s="78"/>
      <c r="G513" s="123"/>
      <c r="H513" s="114"/>
      <c r="I513" s="27"/>
      <c r="J513" s="27"/>
      <c r="K513" s="27"/>
      <c r="L513" s="172"/>
      <c r="M513" s="42"/>
      <c r="N513" s="38"/>
      <c r="P513" s="197"/>
      <c r="Q513" s="197"/>
      <c r="R513" s="197"/>
    </row>
    <row r="514" spans="2:18" s="5" customFormat="1">
      <c r="B514"/>
      <c r="C514" s="36"/>
      <c r="D514" s="23"/>
      <c r="E514" s="78"/>
      <c r="G514" s="123"/>
      <c r="H514" s="114"/>
      <c r="I514" s="27"/>
      <c r="J514" s="27"/>
      <c r="K514" s="27"/>
      <c r="L514" s="172"/>
      <c r="M514" s="42"/>
      <c r="N514" s="38"/>
      <c r="P514" s="197"/>
      <c r="Q514" s="197"/>
      <c r="R514" s="197"/>
    </row>
    <row r="515" spans="2:18" s="5" customFormat="1">
      <c r="B515"/>
      <c r="C515" s="36"/>
      <c r="D515" s="23"/>
      <c r="E515" s="78"/>
      <c r="G515" s="123"/>
      <c r="H515" s="114"/>
      <c r="I515" s="27"/>
      <c r="J515" s="27"/>
      <c r="K515" s="27"/>
      <c r="L515" s="172"/>
      <c r="M515" s="42"/>
      <c r="N515" s="38"/>
      <c r="P515" s="197"/>
      <c r="Q515" s="197"/>
      <c r="R515" s="197"/>
    </row>
    <row r="516" spans="2:18" s="5" customFormat="1">
      <c r="B516"/>
      <c r="C516" s="36"/>
      <c r="D516" s="23"/>
      <c r="E516" s="78"/>
      <c r="G516" s="123"/>
      <c r="H516" s="114"/>
      <c r="I516" s="27"/>
      <c r="J516" s="27"/>
      <c r="K516" s="27"/>
      <c r="L516" s="172"/>
      <c r="M516" s="42"/>
      <c r="N516" s="38"/>
      <c r="P516" s="197"/>
      <c r="Q516" s="197"/>
      <c r="R516" s="197"/>
    </row>
    <row r="517" spans="2:18" s="5" customFormat="1">
      <c r="B517"/>
      <c r="C517" s="36"/>
      <c r="D517" s="23"/>
      <c r="E517" s="78"/>
      <c r="G517" s="123"/>
      <c r="H517" s="114"/>
      <c r="I517" s="27"/>
      <c r="J517" s="27"/>
      <c r="K517" s="27"/>
      <c r="L517" s="172"/>
      <c r="M517" s="42"/>
      <c r="N517" s="38"/>
      <c r="P517" s="197"/>
      <c r="Q517" s="197"/>
      <c r="R517" s="197"/>
    </row>
    <row r="518" spans="2:18" s="5" customFormat="1">
      <c r="B518"/>
      <c r="C518" s="36"/>
      <c r="D518" s="23"/>
      <c r="E518" s="78"/>
      <c r="G518" s="123"/>
      <c r="H518" s="114"/>
      <c r="I518" s="27"/>
      <c r="J518" s="27"/>
      <c r="K518" s="27"/>
      <c r="L518" s="172"/>
      <c r="M518" s="42"/>
      <c r="N518" s="38"/>
      <c r="P518" s="197"/>
      <c r="Q518" s="197"/>
      <c r="R518" s="197"/>
    </row>
    <row r="519" spans="2:18" s="5" customFormat="1">
      <c r="B519"/>
      <c r="C519" s="36"/>
      <c r="D519" s="23"/>
      <c r="E519" s="78"/>
      <c r="G519" s="123"/>
      <c r="H519" s="114"/>
      <c r="I519" s="27"/>
      <c r="J519" s="27"/>
      <c r="K519" s="27"/>
      <c r="L519" s="172"/>
      <c r="M519" s="42"/>
      <c r="N519" s="38"/>
      <c r="P519" s="197"/>
      <c r="Q519" s="197"/>
      <c r="R519" s="197"/>
    </row>
    <row r="520" spans="2:18" s="5" customFormat="1">
      <c r="B520"/>
      <c r="C520" s="36"/>
      <c r="D520" s="23"/>
      <c r="E520" s="78"/>
      <c r="G520" s="123"/>
      <c r="H520" s="114"/>
      <c r="I520" s="27"/>
      <c r="J520" s="27"/>
      <c r="K520" s="27"/>
      <c r="L520" s="172"/>
      <c r="M520" s="42"/>
      <c r="N520" s="38"/>
      <c r="P520" s="197"/>
      <c r="Q520" s="197"/>
      <c r="R520" s="197"/>
    </row>
    <row r="521" spans="2:18" s="5" customFormat="1">
      <c r="B521"/>
      <c r="C521" s="36"/>
      <c r="D521" s="23"/>
      <c r="E521" s="78"/>
      <c r="G521" s="123"/>
      <c r="H521" s="114"/>
      <c r="I521" s="27"/>
      <c r="J521" s="27"/>
      <c r="K521" s="27"/>
      <c r="L521" s="172"/>
      <c r="M521" s="42"/>
      <c r="N521" s="38"/>
      <c r="P521" s="197"/>
      <c r="Q521" s="197"/>
      <c r="R521" s="197"/>
    </row>
    <row r="522" spans="2:18" s="5" customFormat="1">
      <c r="B522"/>
      <c r="C522" s="36"/>
      <c r="D522" s="23"/>
      <c r="E522" s="78"/>
      <c r="G522" s="123"/>
      <c r="H522" s="114"/>
      <c r="I522" s="27"/>
      <c r="J522" s="27"/>
      <c r="K522" s="27"/>
      <c r="L522" s="172"/>
      <c r="M522" s="42"/>
      <c r="N522" s="38"/>
      <c r="P522" s="197"/>
      <c r="Q522" s="197"/>
      <c r="R522" s="197"/>
    </row>
    <row r="523" spans="2:18" s="5" customFormat="1">
      <c r="B523"/>
      <c r="C523" s="36"/>
      <c r="D523" s="23"/>
      <c r="E523" s="78"/>
      <c r="G523" s="123"/>
      <c r="H523" s="114"/>
      <c r="I523" s="27"/>
      <c r="J523" s="27"/>
      <c r="K523" s="27"/>
      <c r="L523" s="172"/>
      <c r="M523" s="42"/>
      <c r="N523" s="38"/>
      <c r="P523" s="197"/>
      <c r="Q523" s="197"/>
      <c r="R523" s="197"/>
    </row>
    <row r="524" spans="2:18" s="5" customFormat="1">
      <c r="B524"/>
      <c r="C524" s="36"/>
      <c r="D524" s="23"/>
      <c r="E524" s="78"/>
      <c r="G524" s="123"/>
      <c r="H524" s="114"/>
      <c r="I524" s="27"/>
      <c r="J524" s="27"/>
      <c r="K524" s="27"/>
      <c r="L524" s="172"/>
      <c r="M524" s="42"/>
      <c r="N524" s="38"/>
      <c r="P524" s="197"/>
      <c r="Q524" s="197"/>
      <c r="R524" s="197"/>
    </row>
    <row r="525" spans="2:18" s="5" customFormat="1">
      <c r="B525"/>
      <c r="C525" s="36"/>
      <c r="D525" s="23"/>
      <c r="E525" s="78"/>
      <c r="G525" s="123"/>
      <c r="H525" s="114"/>
      <c r="I525" s="27"/>
      <c r="J525" s="27"/>
      <c r="K525" s="27"/>
      <c r="L525" s="172"/>
      <c r="M525" s="42"/>
      <c r="N525" s="38"/>
      <c r="P525" s="197"/>
      <c r="Q525" s="197"/>
      <c r="R525" s="197"/>
    </row>
    <row r="526" spans="2:18" s="5" customFormat="1">
      <c r="B526"/>
      <c r="C526" s="36"/>
      <c r="D526" s="23"/>
      <c r="E526" s="78"/>
      <c r="G526" s="123"/>
      <c r="H526" s="114"/>
      <c r="I526" s="27"/>
      <c r="J526" s="27"/>
      <c r="K526" s="27"/>
      <c r="L526" s="172"/>
      <c r="M526" s="42"/>
      <c r="N526" s="38"/>
      <c r="P526" s="197"/>
      <c r="Q526" s="197"/>
      <c r="R526" s="197"/>
    </row>
    <row r="527" spans="2:18" s="5" customFormat="1">
      <c r="B527"/>
      <c r="C527" s="36"/>
      <c r="D527" s="23"/>
      <c r="E527" s="78"/>
      <c r="G527" s="123"/>
      <c r="H527" s="114"/>
      <c r="I527" s="27"/>
      <c r="J527" s="27"/>
      <c r="K527" s="27"/>
      <c r="L527" s="172"/>
      <c r="M527" s="42"/>
      <c r="N527" s="38"/>
      <c r="P527" s="197"/>
      <c r="Q527" s="197"/>
      <c r="R527" s="197"/>
    </row>
    <row r="528" spans="2:18" s="5" customFormat="1">
      <c r="B528"/>
      <c r="C528" s="36"/>
      <c r="D528" s="23"/>
      <c r="E528" s="78"/>
      <c r="G528" s="123"/>
      <c r="H528" s="114"/>
      <c r="I528" s="27"/>
      <c r="J528" s="27"/>
      <c r="K528" s="27"/>
      <c r="L528" s="172"/>
      <c r="M528" s="42"/>
      <c r="N528" s="38"/>
      <c r="P528" s="197"/>
      <c r="Q528" s="197"/>
      <c r="R528" s="197"/>
    </row>
    <row r="529" spans="2:18" s="5" customFormat="1">
      <c r="B529"/>
      <c r="C529" s="36"/>
      <c r="D529" s="23"/>
      <c r="E529" s="78"/>
      <c r="G529" s="123"/>
      <c r="H529" s="114"/>
      <c r="I529" s="27"/>
      <c r="J529" s="27"/>
      <c r="K529" s="27"/>
      <c r="L529" s="172"/>
      <c r="M529" s="42"/>
      <c r="N529" s="38"/>
      <c r="P529" s="197"/>
      <c r="Q529" s="197"/>
      <c r="R529" s="197"/>
    </row>
    <row r="530" spans="2:18" s="5" customFormat="1">
      <c r="B530"/>
      <c r="C530" s="36"/>
      <c r="D530" s="23"/>
      <c r="E530" s="78"/>
      <c r="G530" s="123"/>
      <c r="H530" s="114"/>
      <c r="I530" s="27"/>
      <c r="J530" s="27"/>
      <c r="K530" s="27"/>
      <c r="L530" s="172"/>
      <c r="M530" s="42"/>
      <c r="N530" s="38"/>
      <c r="P530" s="197"/>
      <c r="Q530" s="197"/>
      <c r="R530" s="197"/>
    </row>
    <row r="531" spans="2:18" s="5" customFormat="1">
      <c r="B531"/>
      <c r="C531" s="36"/>
      <c r="D531" s="23"/>
      <c r="E531" s="78"/>
      <c r="G531" s="123"/>
      <c r="H531" s="114"/>
      <c r="I531" s="27"/>
      <c r="J531" s="27"/>
      <c r="K531" s="27"/>
      <c r="L531" s="172"/>
      <c r="M531" s="42"/>
      <c r="N531" s="38"/>
      <c r="P531" s="197"/>
      <c r="Q531" s="197"/>
      <c r="R531" s="197"/>
    </row>
    <row r="532" spans="2:18" s="5" customFormat="1">
      <c r="B532"/>
      <c r="C532" s="36"/>
      <c r="D532" s="23"/>
      <c r="E532" s="78"/>
      <c r="G532" s="123"/>
      <c r="H532" s="114"/>
      <c r="I532" s="27"/>
      <c r="J532" s="27"/>
      <c r="K532" s="27"/>
      <c r="L532" s="172"/>
      <c r="M532" s="42"/>
      <c r="N532" s="38"/>
      <c r="P532" s="197"/>
      <c r="Q532" s="197"/>
      <c r="R532" s="197"/>
    </row>
    <row r="533" spans="2:18" s="5" customFormat="1">
      <c r="B533"/>
      <c r="C533" s="36"/>
      <c r="D533" s="23"/>
      <c r="E533" s="78"/>
      <c r="G533" s="123"/>
      <c r="H533" s="114"/>
      <c r="I533" s="27"/>
      <c r="J533" s="27"/>
      <c r="K533" s="27"/>
      <c r="L533" s="172"/>
      <c r="M533" s="42"/>
      <c r="N533" s="38"/>
      <c r="P533" s="197"/>
      <c r="Q533" s="197"/>
      <c r="R533" s="197"/>
    </row>
    <row r="534" spans="2:18" s="5" customFormat="1">
      <c r="B534"/>
      <c r="C534" s="36"/>
      <c r="D534" s="23"/>
      <c r="E534" s="78"/>
      <c r="G534" s="123"/>
      <c r="H534" s="114"/>
      <c r="I534" s="27"/>
      <c r="J534" s="27"/>
      <c r="K534" s="27"/>
      <c r="L534" s="172"/>
      <c r="M534" s="42"/>
      <c r="N534" s="38"/>
      <c r="P534" s="197"/>
      <c r="Q534" s="197"/>
      <c r="R534" s="197"/>
    </row>
    <row r="535" spans="2:18" s="5" customFormat="1">
      <c r="B535"/>
      <c r="C535" s="36"/>
      <c r="D535" s="23"/>
      <c r="E535" s="78"/>
      <c r="G535" s="123"/>
      <c r="H535" s="114"/>
      <c r="I535" s="27"/>
      <c r="J535" s="27"/>
      <c r="K535" s="27"/>
      <c r="L535" s="172"/>
      <c r="M535" s="42"/>
      <c r="N535" s="38"/>
      <c r="P535" s="197"/>
      <c r="Q535" s="197"/>
      <c r="R535" s="197"/>
    </row>
    <row r="536" spans="2:18" s="5" customFormat="1">
      <c r="B536"/>
      <c r="C536" s="36"/>
      <c r="D536" s="23"/>
      <c r="E536" s="78"/>
      <c r="G536" s="123"/>
      <c r="H536" s="114"/>
      <c r="I536" s="27"/>
      <c r="J536" s="27"/>
      <c r="K536" s="27"/>
      <c r="L536" s="172"/>
      <c r="M536" s="42"/>
      <c r="N536" s="38"/>
      <c r="P536" s="197"/>
      <c r="Q536" s="197"/>
      <c r="R536" s="197"/>
    </row>
    <row r="537" spans="2:18" s="5" customFormat="1">
      <c r="B537"/>
      <c r="C537" s="36"/>
      <c r="D537" s="23"/>
      <c r="E537" s="78"/>
      <c r="G537" s="123"/>
      <c r="H537" s="114"/>
      <c r="I537" s="27"/>
      <c r="J537" s="27"/>
      <c r="K537" s="27"/>
      <c r="L537" s="172"/>
      <c r="M537" s="42"/>
      <c r="N537" s="38"/>
      <c r="P537" s="197"/>
      <c r="Q537" s="197"/>
      <c r="R537" s="197"/>
    </row>
    <row r="538" spans="2:18" s="5" customFormat="1">
      <c r="B538"/>
      <c r="C538" s="36"/>
      <c r="D538" s="23"/>
      <c r="E538" s="78"/>
      <c r="G538" s="123"/>
      <c r="H538" s="114"/>
      <c r="I538" s="27"/>
      <c r="J538" s="27"/>
      <c r="K538" s="27"/>
      <c r="L538" s="172"/>
      <c r="M538" s="42"/>
      <c r="N538" s="38"/>
      <c r="P538" s="197"/>
      <c r="Q538" s="197"/>
      <c r="R538" s="197"/>
    </row>
    <row r="539" spans="2:18" s="5" customFormat="1">
      <c r="B539"/>
      <c r="C539" s="36"/>
      <c r="D539" s="23"/>
      <c r="E539" s="78"/>
      <c r="G539" s="123"/>
      <c r="H539" s="114"/>
      <c r="I539" s="27"/>
      <c r="J539" s="27"/>
      <c r="K539" s="27"/>
      <c r="L539" s="172"/>
      <c r="M539" s="42"/>
      <c r="N539" s="38"/>
      <c r="P539" s="197"/>
      <c r="Q539" s="197"/>
      <c r="R539" s="197"/>
    </row>
    <row r="540" spans="2:18" s="5" customFormat="1">
      <c r="B540"/>
      <c r="C540" s="36"/>
      <c r="D540" s="23"/>
      <c r="E540" s="78"/>
      <c r="G540" s="123"/>
      <c r="H540" s="114"/>
      <c r="I540" s="27"/>
      <c r="J540" s="27"/>
      <c r="K540" s="27"/>
      <c r="L540" s="172"/>
      <c r="M540" s="42"/>
      <c r="N540" s="38"/>
      <c r="P540" s="197"/>
      <c r="Q540" s="197"/>
      <c r="R540" s="197"/>
    </row>
    <row r="541" spans="2:18" s="5" customFormat="1">
      <c r="B541"/>
      <c r="C541" s="36"/>
      <c r="D541" s="23"/>
      <c r="E541" s="78"/>
      <c r="G541" s="123"/>
      <c r="H541" s="114"/>
      <c r="I541" s="27"/>
      <c r="J541" s="27"/>
      <c r="K541" s="27"/>
      <c r="L541" s="172"/>
      <c r="M541" s="42"/>
      <c r="N541" s="38"/>
      <c r="P541" s="197"/>
      <c r="Q541" s="197"/>
      <c r="R541" s="197"/>
    </row>
    <row r="542" spans="2:18" s="5" customFormat="1">
      <c r="B542"/>
      <c r="C542" s="36"/>
      <c r="D542" s="23"/>
      <c r="E542" s="78"/>
      <c r="G542" s="123"/>
      <c r="H542" s="114"/>
      <c r="I542" s="27"/>
      <c r="J542" s="27"/>
      <c r="K542" s="27"/>
      <c r="L542" s="172"/>
      <c r="M542" s="42"/>
      <c r="N542" s="38"/>
      <c r="P542" s="197"/>
      <c r="Q542" s="197"/>
      <c r="R542" s="197"/>
    </row>
    <row r="543" spans="2:18" s="5" customFormat="1">
      <c r="B543"/>
      <c r="C543" s="36"/>
      <c r="D543" s="23"/>
      <c r="E543" s="78"/>
      <c r="G543" s="123"/>
      <c r="H543" s="114"/>
      <c r="I543" s="27"/>
      <c r="J543" s="27"/>
      <c r="K543" s="27"/>
      <c r="L543" s="172"/>
      <c r="M543" s="42"/>
      <c r="N543" s="38"/>
      <c r="P543" s="197"/>
      <c r="Q543" s="197"/>
      <c r="R543" s="197"/>
    </row>
    <row r="544" spans="2:18" s="5" customFormat="1">
      <c r="B544"/>
      <c r="C544" s="36"/>
      <c r="D544" s="23"/>
      <c r="E544" s="78"/>
      <c r="G544" s="123"/>
      <c r="H544" s="114"/>
      <c r="I544" s="27"/>
      <c r="J544" s="27"/>
      <c r="K544" s="27"/>
      <c r="L544" s="172"/>
      <c r="M544" s="42"/>
      <c r="N544" s="38"/>
      <c r="P544" s="197"/>
      <c r="Q544" s="197"/>
      <c r="R544" s="197"/>
    </row>
    <row r="545" spans="2:18" s="5" customFormat="1">
      <c r="B545"/>
      <c r="C545" s="36"/>
      <c r="D545" s="23"/>
      <c r="E545" s="78"/>
      <c r="G545" s="123"/>
      <c r="H545" s="114"/>
      <c r="I545" s="27"/>
      <c r="J545" s="27"/>
      <c r="K545" s="27"/>
      <c r="L545" s="172"/>
      <c r="M545" s="42"/>
      <c r="N545" s="38"/>
      <c r="P545" s="197"/>
      <c r="Q545" s="197"/>
      <c r="R545" s="197"/>
    </row>
    <row r="546" spans="2:18" s="5" customFormat="1">
      <c r="B546"/>
      <c r="C546" s="36"/>
      <c r="D546" s="23"/>
      <c r="E546" s="78"/>
      <c r="G546" s="123"/>
      <c r="H546" s="114"/>
      <c r="I546" s="27"/>
      <c r="J546" s="27"/>
      <c r="K546" s="27"/>
      <c r="L546" s="172"/>
      <c r="M546" s="42"/>
      <c r="N546" s="38"/>
      <c r="P546" s="197"/>
      <c r="Q546" s="197"/>
      <c r="R546" s="197"/>
    </row>
    <row r="547" spans="2:18" s="5" customFormat="1">
      <c r="B547"/>
      <c r="C547" s="36"/>
      <c r="D547" s="23"/>
      <c r="E547" s="78"/>
      <c r="G547" s="123"/>
      <c r="H547" s="114"/>
      <c r="I547" s="27"/>
      <c r="J547" s="27"/>
      <c r="K547" s="27"/>
      <c r="L547" s="172"/>
      <c r="M547" s="42"/>
      <c r="N547" s="38"/>
      <c r="P547" s="197"/>
      <c r="Q547" s="197"/>
      <c r="R547" s="197"/>
    </row>
    <row r="548" spans="2:18" s="5" customFormat="1">
      <c r="B548"/>
      <c r="C548" s="36"/>
      <c r="D548" s="23"/>
      <c r="E548" s="78"/>
      <c r="G548" s="123"/>
      <c r="H548" s="114"/>
      <c r="I548" s="27"/>
      <c r="J548" s="27"/>
      <c r="K548" s="27"/>
      <c r="L548" s="172"/>
      <c r="M548" s="42"/>
      <c r="N548" s="38"/>
      <c r="P548" s="197"/>
      <c r="Q548" s="197"/>
      <c r="R548" s="197"/>
    </row>
    <row r="549" spans="2:18" s="5" customFormat="1">
      <c r="B549"/>
      <c r="C549" s="36"/>
      <c r="D549" s="23"/>
      <c r="E549" s="78"/>
      <c r="G549" s="123"/>
      <c r="H549" s="114"/>
      <c r="I549" s="27"/>
      <c r="J549" s="27"/>
      <c r="K549" s="27"/>
      <c r="L549" s="172"/>
      <c r="M549" s="42"/>
      <c r="N549" s="38"/>
      <c r="P549" s="197"/>
      <c r="Q549" s="197"/>
      <c r="R549" s="197"/>
    </row>
    <row r="550" spans="2:18" s="5" customFormat="1">
      <c r="B550"/>
      <c r="C550" s="36"/>
      <c r="D550" s="23"/>
      <c r="E550" s="78"/>
      <c r="G550" s="123"/>
      <c r="H550" s="114"/>
      <c r="I550" s="27"/>
      <c r="J550" s="27"/>
      <c r="K550" s="27"/>
      <c r="L550" s="172"/>
      <c r="M550" s="42"/>
      <c r="N550" s="38"/>
      <c r="P550" s="197"/>
      <c r="Q550" s="197"/>
      <c r="R550" s="197"/>
    </row>
    <row r="551" spans="2:18" s="5" customFormat="1">
      <c r="B551"/>
      <c r="C551" s="36"/>
      <c r="D551" s="23"/>
      <c r="E551" s="78"/>
      <c r="G551" s="123"/>
      <c r="H551" s="114"/>
      <c r="I551" s="27"/>
      <c r="J551" s="27"/>
      <c r="K551" s="27"/>
      <c r="L551" s="172"/>
      <c r="M551" s="42"/>
      <c r="N551" s="38"/>
      <c r="P551" s="197"/>
      <c r="Q551" s="197"/>
      <c r="R551" s="197"/>
    </row>
    <row r="552" spans="2:18" s="5" customFormat="1">
      <c r="B552"/>
      <c r="C552" s="36"/>
      <c r="D552" s="23"/>
      <c r="E552" s="78"/>
      <c r="G552" s="123"/>
      <c r="H552" s="114"/>
      <c r="I552" s="27"/>
      <c r="J552" s="27"/>
      <c r="K552" s="27"/>
      <c r="L552" s="172"/>
      <c r="M552" s="42"/>
      <c r="N552" s="38"/>
      <c r="P552" s="197"/>
      <c r="Q552" s="197"/>
      <c r="R552" s="197"/>
    </row>
    <row r="553" spans="2:18" s="5" customFormat="1">
      <c r="B553"/>
      <c r="C553" s="36"/>
      <c r="D553" s="23"/>
      <c r="E553" s="78"/>
      <c r="G553" s="123"/>
      <c r="H553" s="114"/>
      <c r="I553" s="27"/>
      <c r="J553" s="27"/>
      <c r="K553" s="27"/>
      <c r="L553" s="172"/>
      <c r="M553" s="42"/>
      <c r="N553" s="38"/>
      <c r="P553" s="197"/>
      <c r="Q553" s="197"/>
      <c r="R553" s="197"/>
    </row>
    <row r="554" spans="2:18" s="5" customFormat="1">
      <c r="B554"/>
      <c r="C554" s="36"/>
      <c r="D554" s="23"/>
      <c r="E554" s="78"/>
      <c r="G554" s="123"/>
      <c r="H554" s="114"/>
      <c r="I554" s="27"/>
      <c r="J554" s="27"/>
      <c r="K554" s="27"/>
      <c r="L554" s="172"/>
      <c r="M554" s="42"/>
      <c r="N554" s="38"/>
      <c r="P554" s="197"/>
      <c r="Q554" s="197"/>
      <c r="R554" s="197"/>
    </row>
    <row r="555" spans="2:18" s="5" customFormat="1">
      <c r="B555"/>
      <c r="C555" s="36"/>
      <c r="D555" s="23"/>
      <c r="E555" s="78"/>
      <c r="G555" s="123"/>
      <c r="H555" s="114"/>
      <c r="I555" s="27"/>
      <c r="J555" s="27"/>
      <c r="K555" s="27"/>
      <c r="L555" s="172"/>
      <c r="M555" s="42"/>
      <c r="N555" s="38"/>
      <c r="P555" s="197"/>
      <c r="Q555" s="197"/>
      <c r="R555" s="197"/>
    </row>
    <row r="556" spans="2:18" s="5" customFormat="1">
      <c r="B556"/>
      <c r="C556" s="36"/>
      <c r="D556" s="23"/>
      <c r="E556" s="78"/>
      <c r="G556" s="123"/>
      <c r="H556" s="114"/>
      <c r="I556" s="27"/>
      <c r="J556" s="27"/>
      <c r="K556" s="27"/>
      <c r="L556" s="172"/>
      <c r="M556" s="42"/>
      <c r="N556" s="38"/>
      <c r="P556" s="197"/>
      <c r="Q556" s="197"/>
      <c r="R556" s="197"/>
    </row>
    <row r="557" spans="2:18" s="5" customFormat="1">
      <c r="B557"/>
      <c r="C557" s="36"/>
      <c r="D557" s="23"/>
      <c r="E557" s="78"/>
      <c r="G557" s="123"/>
      <c r="H557" s="114"/>
      <c r="I557" s="27"/>
      <c r="J557" s="27"/>
      <c r="K557" s="27"/>
      <c r="L557" s="172"/>
      <c r="M557" s="42"/>
      <c r="N557" s="38"/>
      <c r="P557" s="197"/>
      <c r="Q557" s="197"/>
      <c r="R557" s="197"/>
    </row>
    <row r="558" spans="2:18" s="5" customFormat="1">
      <c r="B558"/>
      <c r="C558" s="36"/>
      <c r="D558" s="23"/>
      <c r="E558" s="78"/>
      <c r="G558" s="123"/>
      <c r="H558" s="114"/>
      <c r="I558" s="27"/>
      <c r="J558" s="27"/>
      <c r="K558" s="27"/>
      <c r="L558" s="172"/>
      <c r="M558" s="42"/>
      <c r="N558" s="38"/>
      <c r="P558" s="197"/>
      <c r="Q558" s="197"/>
      <c r="R558" s="197"/>
    </row>
    <row r="559" spans="2:18" s="5" customFormat="1">
      <c r="B559"/>
      <c r="C559" s="36"/>
      <c r="D559" s="23"/>
      <c r="E559" s="78"/>
      <c r="G559" s="123"/>
      <c r="H559" s="114"/>
      <c r="I559" s="27"/>
      <c r="J559" s="27"/>
      <c r="K559" s="27"/>
      <c r="L559" s="172"/>
      <c r="M559" s="42"/>
      <c r="N559" s="38"/>
      <c r="P559" s="197"/>
      <c r="Q559" s="197"/>
      <c r="R559" s="197"/>
    </row>
    <row r="560" spans="2:18" s="5" customFormat="1">
      <c r="B560"/>
      <c r="C560" s="36"/>
      <c r="D560" s="23"/>
      <c r="E560" s="78"/>
      <c r="G560" s="123"/>
      <c r="H560" s="114"/>
      <c r="I560" s="27"/>
      <c r="J560" s="27"/>
      <c r="K560" s="27"/>
      <c r="L560" s="172"/>
      <c r="M560" s="42"/>
      <c r="N560" s="38"/>
      <c r="P560" s="197"/>
      <c r="Q560" s="197"/>
      <c r="R560" s="197"/>
    </row>
    <row r="561" spans="2:18" s="5" customFormat="1">
      <c r="B561"/>
      <c r="C561" s="36"/>
      <c r="D561" s="23"/>
      <c r="E561" s="78"/>
      <c r="G561" s="123"/>
      <c r="H561" s="114"/>
      <c r="I561" s="27"/>
      <c r="J561" s="27"/>
      <c r="K561" s="27"/>
      <c r="L561" s="172"/>
      <c r="M561" s="42"/>
      <c r="N561" s="38"/>
      <c r="P561" s="197"/>
      <c r="Q561" s="197"/>
      <c r="R561" s="197"/>
    </row>
    <row r="562" spans="2:18" s="5" customFormat="1">
      <c r="B562"/>
      <c r="C562" s="36"/>
      <c r="D562" s="23"/>
      <c r="E562" s="78"/>
      <c r="G562" s="123"/>
      <c r="H562" s="114"/>
      <c r="I562" s="27"/>
      <c r="J562" s="27"/>
      <c r="K562" s="27"/>
      <c r="L562" s="172"/>
      <c r="M562" s="42"/>
      <c r="N562" s="38"/>
      <c r="P562" s="197"/>
      <c r="Q562" s="197"/>
      <c r="R562" s="197"/>
    </row>
    <row r="563" spans="2:18" s="5" customFormat="1">
      <c r="B563"/>
      <c r="C563" s="36"/>
      <c r="D563" s="23"/>
      <c r="E563" s="78"/>
      <c r="G563" s="123"/>
      <c r="H563" s="114"/>
      <c r="I563" s="27"/>
      <c r="J563" s="27"/>
      <c r="K563" s="27"/>
      <c r="L563" s="172"/>
      <c r="M563" s="42"/>
      <c r="N563" s="38"/>
      <c r="P563" s="197"/>
      <c r="Q563" s="197"/>
      <c r="R563" s="197"/>
    </row>
    <row r="564" spans="2:18" s="5" customFormat="1">
      <c r="B564"/>
      <c r="C564" s="36"/>
      <c r="D564" s="23"/>
      <c r="E564" s="78"/>
      <c r="G564" s="123"/>
      <c r="H564" s="114"/>
      <c r="I564" s="27"/>
      <c r="J564" s="27"/>
      <c r="K564" s="27"/>
      <c r="L564" s="172"/>
      <c r="M564" s="42"/>
      <c r="N564" s="38"/>
      <c r="P564" s="197"/>
      <c r="Q564" s="197"/>
      <c r="R564" s="197"/>
    </row>
    <row r="565" spans="2:18" s="5" customFormat="1">
      <c r="B565"/>
      <c r="C565" s="36"/>
      <c r="D565" s="23"/>
      <c r="E565" s="78"/>
      <c r="G565" s="123"/>
      <c r="H565" s="114"/>
      <c r="I565" s="27"/>
      <c r="J565" s="27"/>
      <c r="K565" s="27"/>
      <c r="L565" s="172"/>
      <c r="M565" s="42"/>
      <c r="N565" s="38"/>
      <c r="P565" s="197"/>
      <c r="Q565" s="197"/>
      <c r="R565" s="197"/>
    </row>
    <row r="566" spans="2:18" s="5" customFormat="1">
      <c r="B566"/>
      <c r="C566" s="36"/>
      <c r="D566" s="23"/>
      <c r="E566" s="78"/>
      <c r="G566" s="123"/>
      <c r="H566" s="114"/>
      <c r="I566" s="27"/>
      <c r="J566" s="27"/>
      <c r="K566" s="27"/>
      <c r="L566" s="172"/>
      <c r="M566" s="42"/>
      <c r="N566" s="38"/>
      <c r="P566" s="197"/>
      <c r="Q566" s="197"/>
      <c r="R566" s="197"/>
    </row>
    <row r="567" spans="2:18" s="5" customFormat="1">
      <c r="B567"/>
      <c r="C567" s="36"/>
      <c r="D567" s="23"/>
      <c r="E567" s="78"/>
      <c r="G567" s="123"/>
      <c r="H567" s="114"/>
      <c r="I567" s="27"/>
      <c r="J567" s="27"/>
      <c r="K567" s="27"/>
      <c r="L567" s="172"/>
      <c r="M567" s="42"/>
      <c r="N567" s="38"/>
      <c r="P567" s="197"/>
      <c r="Q567" s="197"/>
      <c r="R567" s="197"/>
    </row>
    <row r="568" spans="2:18" s="5" customFormat="1">
      <c r="B568"/>
      <c r="C568" s="36"/>
      <c r="D568" s="23"/>
      <c r="E568" s="78"/>
      <c r="G568" s="123"/>
      <c r="H568" s="114"/>
      <c r="I568" s="27"/>
      <c r="J568" s="27"/>
      <c r="K568" s="27"/>
      <c r="L568" s="172"/>
      <c r="M568" s="42"/>
      <c r="N568" s="38"/>
      <c r="P568" s="197"/>
      <c r="Q568" s="197"/>
      <c r="R568" s="197"/>
    </row>
    <row r="569" spans="2:18" s="5" customFormat="1">
      <c r="B569"/>
      <c r="C569" s="36"/>
      <c r="D569" s="23"/>
      <c r="E569" s="78"/>
      <c r="G569" s="123"/>
      <c r="H569" s="114"/>
      <c r="I569" s="27"/>
      <c r="J569" s="27"/>
      <c r="K569" s="27"/>
      <c r="L569" s="172"/>
      <c r="M569" s="42"/>
      <c r="N569" s="38"/>
      <c r="P569" s="197"/>
      <c r="Q569" s="197"/>
      <c r="R569" s="197"/>
    </row>
    <row r="570" spans="2:18" s="5" customFormat="1">
      <c r="B570"/>
      <c r="C570" s="36"/>
      <c r="D570" s="23"/>
      <c r="E570" s="78"/>
      <c r="G570" s="123"/>
      <c r="H570" s="114"/>
      <c r="I570" s="27"/>
      <c r="J570" s="27"/>
      <c r="K570" s="27"/>
      <c r="L570" s="172"/>
      <c r="M570" s="42"/>
      <c r="N570" s="38"/>
      <c r="P570" s="197"/>
      <c r="Q570" s="197"/>
      <c r="R570" s="197"/>
    </row>
    <row r="571" spans="2:18" s="5" customFormat="1">
      <c r="B571"/>
      <c r="C571" s="36"/>
      <c r="D571" s="23"/>
      <c r="E571" s="78"/>
      <c r="G571" s="123"/>
      <c r="H571" s="114"/>
      <c r="I571" s="27"/>
      <c r="J571" s="27"/>
      <c r="K571" s="27"/>
      <c r="L571" s="172"/>
      <c r="M571" s="42"/>
      <c r="N571" s="38"/>
      <c r="P571" s="197"/>
      <c r="Q571" s="197"/>
      <c r="R571" s="197"/>
    </row>
    <row r="572" spans="2:18" s="5" customFormat="1">
      <c r="B572"/>
      <c r="C572" s="36"/>
      <c r="D572" s="23"/>
      <c r="E572" s="78"/>
      <c r="G572" s="123"/>
      <c r="H572" s="114"/>
      <c r="I572" s="27"/>
      <c r="J572" s="27"/>
      <c r="K572" s="27"/>
      <c r="L572" s="172"/>
      <c r="M572" s="42"/>
      <c r="N572" s="38"/>
      <c r="P572" s="197"/>
      <c r="Q572" s="197"/>
      <c r="R572" s="197"/>
    </row>
    <row r="573" spans="2:18" s="5" customFormat="1">
      <c r="B573"/>
      <c r="C573" s="36"/>
      <c r="D573" s="23"/>
      <c r="E573" s="78"/>
      <c r="G573" s="123"/>
      <c r="H573" s="114"/>
      <c r="I573" s="27"/>
      <c r="J573" s="27"/>
      <c r="K573" s="27"/>
      <c r="L573" s="172"/>
      <c r="M573" s="42"/>
      <c r="N573" s="38"/>
      <c r="P573" s="197"/>
      <c r="Q573" s="197"/>
      <c r="R573" s="197"/>
    </row>
    <row r="574" spans="2:18" s="5" customFormat="1">
      <c r="B574"/>
      <c r="C574" s="36"/>
      <c r="D574" s="23"/>
      <c r="E574" s="78"/>
      <c r="G574" s="123"/>
      <c r="H574" s="114"/>
      <c r="I574" s="27"/>
      <c r="J574" s="27"/>
      <c r="K574" s="27"/>
      <c r="L574" s="172"/>
      <c r="M574" s="42"/>
      <c r="N574" s="38"/>
      <c r="P574" s="197"/>
      <c r="Q574" s="197"/>
      <c r="R574" s="197"/>
    </row>
    <row r="575" spans="2:18" s="5" customFormat="1">
      <c r="B575"/>
      <c r="C575" s="36"/>
      <c r="D575" s="23"/>
      <c r="E575" s="78"/>
      <c r="G575" s="123"/>
      <c r="H575" s="114"/>
      <c r="I575" s="27"/>
      <c r="J575" s="27"/>
      <c r="K575" s="27"/>
      <c r="L575" s="172"/>
      <c r="M575" s="42"/>
      <c r="N575" s="38"/>
      <c r="P575" s="197"/>
      <c r="Q575" s="197"/>
      <c r="R575" s="197"/>
    </row>
    <row r="576" spans="2:18" s="5" customFormat="1">
      <c r="B576"/>
      <c r="C576" s="36"/>
      <c r="D576" s="23"/>
      <c r="E576" s="78"/>
      <c r="G576" s="123"/>
      <c r="H576" s="114"/>
      <c r="I576" s="27"/>
      <c r="J576" s="27"/>
      <c r="K576" s="27"/>
      <c r="L576" s="172"/>
      <c r="M576" s="42"/>
      <c r="N576" s="38"/>
      <c r="P576" s="197"/>
      <c r="Q576" s="197"/>
      <c r="R576" s="197"/>
    </row>
    <row r="577" spans="2:18" s="5" customFormat="1">
      <c r="B577"/>
      <c r="C577" s="36"/>
      <c r="D577" s="23"/>
      <c r="E577" s="78"/>
      <c r="G577" s="123"/>
      <c r="H577" s="114"/>
      <c r="I577" s="27"/>
      <c r="J577" s="27"/>
      <c r="K577" s="27"/>
      <c r="L577" s="172"/>
      <c r="M577" s="42"/>
      <c r="N577" s="38"/>
      <c r="P577" s="197"/>
      <c r="Q577" s="197"/>
      <c r="R577" s="197"/>
    </row>
    <row r="578" spans="2:18" s="5" customFormat="1">
      <c r="B578"/>
      <c r="C578" s="36"/>
      <c r="D578" s="23"/>
      <c r="E578" s="78"/>
      <c r="G578" s="123"/>
      <c r="H578" s="114"/>
      <c r="I578" s="27"/>
      <c r="J578" s="27"/>
      <c r="K578" s="27"/>
      <c r="L578" s="172"/>
      <c r="M578" s="42"/>
      <c r="N578" s="38"/>
      <c r="P578" s="197"/>
      <c r="Q578" s="197"/>
      <c r="R578" s="197"/>
    </row>
    <row r="579" spans="2:18" s="5" customFormat="1">
      <c r="B579"/>
      <c r="C579" s="36"/>
      <c r="D579" s="23"/>
      <c r="E579" s="78"/>
      <c r="G579" s="123"/>
      <c r="H579" s="114"/>
      <c r="I579" s="27"/>
      <c r="J579" s="27"/>
      <c r="K579" s="27"/>
      <c r="L579" s="172"/>
      <c r="M579" s="42"/>
      <c r="N579" s="38"/>
      <c r="P579" s="197"/>
      <c r="Q579" s="197"/>
      <c r="R579" s="197"/>
    </row>
    <row r="580" spans="2:18" s="5" customFormat="1">
      <c r="B580"/>
      <c r="C580" s="36"/>
      <c r="D580" s="23"/>
      <c r="E580" s="78"/>
      <c r="G580" s="123"/>
      <c r="H580" s="114"/>
      <c r="I580" s="27"/>
      <c r="J580" s="27"/>
      <c r="K580" s="27"/>
      <c r="L580" s="172"/>
      <c r="M580" s="42"/>
      <c r="N580" s="38"/>
      <c r="P580" s="197"/>
      <c r="Q580" s="197"/>
      <c r="R580" s="197"/>
    </row>
    <row r="581" spans="2:18" s="5" customFormat="1">
      <c r="B581"/>
      <c r="C581" s="36"/>
      <c r="D581" s="23"/>
      <c r="E581" s="78"/>
      <c r="G581" s="123"/>
      <c r="H581" s="114"/>
      <c r="I581" s="27"/>
      <c r="J581" s="27"/>
      <c r="K581" s="27"/>
      <c r="L581" s="172"/>
      <c r="M581" s="42"/>
      <c r="N581" s="38"/>
      <c r="P581" s="197"/>
      <c r="Q581" s="197"/>
      <c r="R581" s="197"/>
    </row>
    <row r="582" spans="2:18" s="5" customFormat="1">
      <c r="B582"/>
      <c r="C582" s="36"/>
      <c r="D582" s="23"/>
      <c r="E582" s="78"/>
      <c r="G582" s="123"/>
      <c r="H582" s="114"/>
      <c r="I582" s="27"/>
      <c r="J582" s="27"/>
      <c r="K582" s="27"/>
      <c r="L582" s="172"/>
      <c r="M582" s="42"/>
      <c r="N582" s="38"/>
      <c r="P582" s="197"/>
      <c r="Q582" s="197"/>
      <c r="R582" s="197"/>
    </row>
    <row r="583" spans="2:18" s="5" customFormat="1">
      <c r="B583"/>
      <c r="C583" s="36"/>
      <c r="D583" s="23"/>
      <c r="E583" s="78"/>
      <c r="G583" s="123"/>
      <c r="H583" s="114"/>
      <c r="I583" s="27"/>
      <c r="J583" s="27"/>
      <c r="K583" s="27"/>
      <c r="L583" s="172"/>
      <c r="M583" s="42"/>
      <c r="N583" s="38"/>
      <c r="P583" s="197"/>
      <c r="Q583" s="197"/>
      <c r="R583" s="197"/>
    </row>
    <row r="584" spans="2:18" s="5" customFormat="1">
      <c r="B584"/>
      <c r="C584" s="36"/>
      <c r="D584" s="23"/>
      <c r="E584" s="78"/>
      <c r="G584" s="123"/>
      <c r="H584" s="114"/>
      <c r="I584" s="27"/>
      <c r="J584" s="27"/>
      <c r="K584" s="27"/>
      <c r="L584" s="172"/>
      <c r="M584" s="42"/>
      <c r="N584" s="38"/>
      <c r="P584" s="197"/>
      <c r="Q584" s="197"/>
      <c r="R584" s="197"/>
    </row>
    <row r="585" spans="2:18" s="5" customFormat="1">
      <c r="B585"/>
      <c r="C585" s="36"/>
      <c r="D585" s="23"/>
      <c r="E585" s="78"/>
      <c r="G585" s="123"/>
      <c r="H585" s="114"/>
      <c r="I585" s="27"/>
      <c r="J585" s="27"/>
      <c r="K585" s="27"/>
      <c r="L585" s="172"/>
      <c r="M585" s="42"/>
      <c r="N585" s="38"/>
      <c r="P585" s="197"/>
      <c r="Q585" s="197"/>
      <c r="R585" s="197"/>
    </row>
    <row r="586" spans="2:18" s="5" customFormat="1">
      <c r="B586"/>
      <c r="C586" s="36"/>
      <c r="D586" s="23"/>
      <c r="E586" s="78"/>
      <c r="G586" s="123"/>
      <c r="H586" s="114"/>
      <c r="I586" s="27"/>
      <c r="J586" s="27"/>
      <c r="K586" s="27"/>
      <c r="L586" s="172"/>
      <c r="M586" s="42"/>
      <c r="N586" s="38"/>
      <c r="P586" s="197"/>
      <c r="Q586" s="197"/>
      <c r="R586" s="197"/>
    </row>
    <row r="587" spans="2:18" s="5" customFormat="1">
      <c r="B587"/>
      <c r="C587" s="36"/>
      <c r="D587" s="23"/>
      <c r="E587" s="78"/>
      <c r="G587" s="123"/>
      <c r="H587" s="114"/>
      <c r="I587" s="27"/>
      <c r="J587" s="27"/>
      <c r="K587" s="27"/>
      <c r="L587" s="172"/>
      <c r="M587" s="42"/>
      <c r="N587" s="38"/>
      <c r="P587" s="197"/>
      <c r="Q587" s="197"/>
      <c r="R587" s="197"/>
    </row>
    <row r="588" spans="2:18" s="5" customFormat="1">
      <c r="B588"/>
      <c r="C588" s="36"/>
      <c r="D588" s="23"/>
      <c r="E588" s="78"/>
      <c r="G588" s="123"/>
      <c r="H588" s="114"/>
      <c r="I588" s="27"/>
      <c r="J588" s="27"/>
      <c r="K588" s="27"/>
      <c r="L588" s="172"/>
      <c r="M588" s="42"/>
      <c r="N588" s="38"/>
      <c r="P588" s="197"/>
      <c r="Q588" s="197"/>
      <c r="R588" s="197"/>
    </row>
    <row r="589" spans="2:18" s="5" customFormat="1">
      <c r="B589"/>
      <c r="C589" s="36"/>
      <c r="D589" s="23"/>
      <c r="E589" s="78"/>
      <c r="G589" s="123"/>
      <c r="H589" s="114"/>
      <c r="I589" s="27"/>
      <c r="J589" s="27"/>
      <c r="K589" s="27"/>
      <c r="L589" s="172"/>
      <c r="M589" s="42"/>
      <c r="N589" s="38"/>
      <c r="P589" s="197"/>
      <c r="Q589" s="197"/>
      <c r="R589" s="197"/>
    </row>
    <row r="590" spans="2:18" s="5" customFormat="1">
      <c r="B590"/>
      <c r="C590" s="36"/>
      <c r="D590" s="23"/>
      <c r="E590" s="78"/>
      <c r="G590" s="123"/>
      <c r="H590" s="114"/>
      <c r="I590" s="27"/>
      <c r="J590" s="27"/>
      <c r="K590" s="27"/>
      <c r="L590" s="172"/>
      <c r="M590" s="42"/>
      <c r="N590" s="38"/>
      <c r="P590" s="197"/>
      <c r="Q590" s="197"/>
      <c r="R590" s="197"/>
    </row>
    <row r="591" spans="2:18" s="5" customFormat="1">
      <c r="B591"/>
      <c r="C591" s="36"/>
      <c r="D591" s="23"/>
      <c r="E591" s="78"/>
      <c r="G591" s="123"/>
      <c r="H591" s="114"/>
      <c r="I591" s="27"/>
      <c r="J591" s="27"/>
      <c r="K591" s="27"/>
      <c r="L591" s="172"/>
      <c r="M591" s="42"/>
      <c r="N591" s="38"/>
      <c r="P591" s="197"/>
      <c r="Q591" s="197"/>
      <c r="R591" s="197"/>
    </row>
    <row r="592" spans="2:18" s="5" customFormat="1">
      <c r="B592"/>
      <c r="C592" s="36"/>
      <c r="D592" s="23"/>
      <c r="E592" s="78"/>
      <c r="G592" s="123"/>
      <c r="H592" s="114"/>
      <c r="I592" s="27"/>
      <c r="J592" s="27"/>
      <c r="K592" s="27"/>
      <c r="L592" s="172"/>
      <c r="M592" s="42"/>
      <c r="N592" s="38"/>
      <c r="P592" s="197"/>
      <c r="Q592" s="197"/>
      <c r="R592" s="197"/>
    </row>
    <row r="593" spans="2:18" s="5" customFormat="1">
      <c r="B593"/>
      <c r="C593" s="36"/>
      <c r="D593" s="23"/>
      <c r="E593" s="78"/>
      <c r="G593" s="123"/>
      <c r="H593" s="114"/>
      <c r="I593" s="27"/>
      <c r="J593" s="27"/>
      <c r="K593" s="27"/>
      <c r="L593" s="172"/>
      <c r="M593" s="42"/>
      <c r="N593" s="38"/>
      <c r="P593" s="197"/>
      <c r="Q593" s="197"/>
      <c r="R593" s="197"/>
    </row>
    <row r="594" spans="2:18" s="5" customFormat="1">
      <c r="B594"/>
      <c r="C594" s="36"/>
      <c r="D594" s="23"/>
      <c r="E594" s="78"/>
      <c r="G594" s="123"/>
      <c r="H594" s="114"/>
      <c r="I594" s="27"/>
      <c r="J594" s="27"/>
      <c r="K594" s="27"/>
      <c r="L594" s="172"/>
      <c r="M594" s="42"/>
      <c r="N594" s="38"/>
      <c r="P594" s="197"/>
      <c r="Q594" s="197"/>
      <c r="R594" s="197"/>
    </row>
    <row r="595" spans="2:18" s="5" customFormat="1">
      <c r="B595"/>
      <c r="C595" s="36"/>
      <c r="D595" s="23"/>
      <c r="E595" s="78"/>
      <c r="G595" s="123"/>
      <c r="H595" s="114"/>
      <c r="I595" s="27"/>
      <c r="J595" s="27"/>
      <c r="K595" s="27"/>
      <c r="L595" s="172"/>
      <c r="M595" s="42"/>
      <c r="N595" s="38"/>
      <c r="P595" s="197"/>
      <c r="Q595" s="197"/>
      <c r="R595" s="197"/>
    </row>
    <row r="596" spans="2:18" s="5" customFormat="1">
      <c r="B596"/>
      <c r="C596" s="36"/>
      <c r="D596" s="23"/>
      <c r="E596" s="78"/>
      <c r="G596" s="123"/>
      <c r="H596" s="114"/>
      <c r="I596" s="27"/>
      <c r="J596" s="27"/>
      <c r="K596" s="27"/>
      <c r="L596" s="172"/>
      <c r="M596" s="42"/>
      <c r="N596" s="38"/>
      <c r="P596" s="197"/>
      <c r="Q596" s="197"/>
      <c r="R596" s="197"/>
    </row>
    <row r="597" spans="2:18" s="5" customFormat="1">
      <c r="B597"/>
      <c r="C597" s="36"/>
      <c r="D597" s="23"/>
      <c r="E597" s="78"/>
      <c r="G597" s="123"/>
      <c r="H597" s="114"/>
      <c r="I597" s="27"/>
      <c r="J597" s="27"/>
      <c r="K597" s="27"/>
      <c r="L597" s="172"/>
      <c r="M597" s="42"/>
      <c r="N597" s="38"/>
      <c r="P597" s="197"/>
      <c r="Q597" s="197"/>
      <c r="R597" s="197"/>
    </row>
    <row r="598" spans="2:18" s="5" customFormat="1">
      <c r="B598"/>
      <c r="C598" s="36"/>
      <c r="D598" s="23"/>
      <c r="E598" s="78"/>
      <c r="G598" s="123"/>
      <c r="H598" s="114"/>
      <c r="I598" s="27"/>
      <c r="J598" s="27"/>
      <c r="K598" s="27"/>
      <c r="L598" s="172"/>
      <c r="M598" s="42"/>
      <c r="N598" s="38"/>
      <c r="P598" s="197"/>
      <c r="Q598" s="197"/>
      <c r="R598" s="197"/>
    </row>
    <row r="599" spans="2:18" s="5" customFormat="1">
      <c r="B599"/>
      <c r="C599" s="36"/>
      <c r="D599" s="23"/>
      <c r="E599" s="78"/>
      <c r="G599" s="123"/>
      <c r="H599" s="114"/>
      <c r="I599" s="27"/>
      <c r="J599" s="27"/>
      <c r="K599" s="27"/>
      <c r="L599" s="172"/>
      <c r="M599" s="42"/>
      <c r="N599" s="38"/>
      <c r="P599" s="197"/>
      <c r="Q599" s="197"/>
      <c r="R599" s="197"/>
    </row>
    <row r="600" spans="2:18" s="5" customFormat="1">
      <c r="B600"/>
      <c r="C600" s="36"/>
      <c r="D600" s="23"/>
      <c r="E600" s="78"/>
      <c r="G600" s="123"/>
      <c r="H600" s="114"/>
      <c r="I600" s="27"/>
      <c r="J600" s="27"/>
      <c r="K600" s="27"/>
      <c r="L600" s="172"/>
      <c r="M600" s="42"/>
      <c r="N600" s="38"/>
      <c r="P600" s="197"/>
      <c r="Q600" s="197"/>
      <c r="R600" s="197"/>
    </row>
    <row r="601" spans="2:18" s="5" customFormat="1">
      <c r="B601"/>
      <c r="C601" s="36"/>
      <c r="D601" s="23"/>
      <c r="E601" s="78"/>
      <c r="G601" s="123"/>
      <c r="H601" s="114"/>
      <c r="I601" s="27"/>
      <c r="J601" s="27"/>
      <c r="K601" s="27"/>
      <c r="L601" s="172"/>
      <c r="M601" s="42"/>
      <c r="N601" s="38"/>
      <c r="P601" s="197"/>
      <c r="Q601" s="197"/>
      <c r="R601" s="197"/>
    </row>
    <row r="602" spans="2:18" s="5" customFormat="1">
      <c r="B602"/>
      <c r="C602" s="36"/>
      <c r="D602" s="23"/>
      <c r="E602" s="78"/>
      <c r="G602" s="123"/>
      <c r="H602" s="114"/>
      <c r="I602" s="27"/>
      <c r="J602" s="27"/>
      <c r="K602" s="27"/>
      <c r="L602" s="172"/>
      <c r="M602" s="42"/>
      <c r="N602" s="38"/>
      <c r="P602" s="197"/>
      <c r="Q602" s="197"/>
      <c r="R602" s="197"/>
    </row>
    <row r="603" spans="2:18" s="5" customFormat="1">
      <c r="B603"/>
      <c r="C603" s="36"/>
      <c r="D603" s="23"/>
      <c r="E603" s="78"/>
      <c r="G603" s="123"/>
      <c r="H603" s="114"/>
      <c r="I603" s="27"/>
      <c r="J603" s="27"/>
      <c r="K603" s="27"/>
      <c r="L603" s="172"/>
      <c r="M603" s="42"/>
      <c r="N603" s="38"/>
      <c r="P603" s="197"/>
      <c r="Q603" s="197"/>
      <c r="R603" s="197"/>
    </row>
    <row r="604" spans="2:18" s="5" customFormat="1">
      <c r="B604"/>
      <c r="C604" s="36"/>
      <c r="D604" s="23"/>
      <c r="E604" s="78"/>
      <c r="G604" s="123"/>
      <c r="H604" s="114"/>
      <c r="I604" s="27"/>
      <c r="J604" s="27"/>
      <c r="K604" s="27"/>
      <c r="L604" s="172"/>
      <c r="M604" s="42"/>
      <c r="N604" s="38"/>
      <c r="P604" s="197"/>
      <c r="Q604" s="197"/>
      <c r="R604" s="197"/>
    </row>
    <row r="605" spans="2:18" s="5" customFormat="1">
      <c r="B605"/>
      <c r="C605" s="36"/>
      <c r="D605" s="23"/>
      <c r="E605" s="78"/>
      <c r="G605" s="123"/>
      <c r="H605" s="114"/>
      <c r="I605" s="27"/>
      <c r="J605" s="27"/>
      <c r="K605" s="27"/>
      <c r="L605" s="172"/>
      <c r="M605" s="42"/>
      <c r="N605" s="38"/>
      <c r="P605" s="197"/>
      <c r="Q605" s="197"/>
      <c r="R605" s="197"/>
    </row>
    <row r="606" spans="2:18" s="5" customFormat="1">
      <c r="B606"/>
      <c r="C606" s="36"/>
      <c r="D606" s="23"/>
      <c r="E606" s="78"/>
      <c r="G606" s="123"/>
      <c r="H606" s="114"/>
      <c r="I606" s="27"/>
      <c r="J606" s="27"/>
      <c r="K606" s="27"/>
      <c r="L606" s="172"/>
      <c r="M606" s="42"/>
      <c r="N606" s="38"/>
      <c r="P606" s="197"/>
      <c r="Q606" s="197"/>
      <c r="R606" s="197"/>
    </row>
    <row r="607" spans="2:18" s="5" customFormat="1">
      <c r="B607"/>
      <c r="C607" s="36"/>
      <c r="D607" s="23"/>
      <c r="E607" s="78"/>
      <c r="G607" s="123"/>
      <c r="H607" s="114"/>
      <c r="I607" s="27"/>
      <c r="J607" s="27"/>
      <c r="K607" s="27"/>
      <c r="L607" s="172"/>
      <c r="M607" s="42"/>
      <c r="N607" s="38"/>
      <c r="P607" s="197"/>
      <c r="Q607" s="197"/>
      <c r="R607" s="197"/>
    </row>
    <row r="608" spans="2:18" s="5" customFormat="1">
      <c r="B608"/>
      <c r="C608" s="36"/>
      <c r="D608" s="23"/>
      <c r="E608" s="78"/>
      <c r="G608" s="123"/>
      <c r="H608" s="114"/>
      <c r="I608" s="27"/>
      <c r="J608" s="27"/>
      <c r="K608" s="27"/>
      <c r="L608" s="172"/>
      <c r="M608" s="42"/>
      <c r="N608" s="38"/>
      <c r="P608" s="197"/>
      <c r="Q608" s="197"/>
      <c r="R608" s="197"/>
    </row>
    <row r="609" spans="2:18" s="5" customFormat="1">
      <c r="B609"/>
      <c r="C609" s="36"/>
      <c r="D609" s="23"/>
      <c r="E609" s="78"/>
      <c r="G609" s="123"/>
      <c r="H609" s="114"/>
      <c r="I609" s="27"/>
      <c r="J609" s="27"/>
      <c r="K609" s="27"/>
      <c r="L609" s="172"/>
      <c r="M609" s="42"/>
      <c r="N609" s="38"/>
      <c r="P609" s="197"/>
      <c r="Q609" s="197"/>
      <c r="R609" s="197"/>
    </row>
    <row r="610" spans="2:18" s="5" customFormat="1">
      <c r="B610"/>
      <c r="C610" s="36"/>
      <c r="D610" s="23"/>
      <c r="E610" s="78"/>
      <c r="G610" s="123"/>
      <c r="H610" s="114"/>
      <c r="I610" s="27"/>
      <c r="J610" s="27"/>
      <c r="K610" s="27"/>
      <c r="L610" s="172"/>
      <c r="M610" s="42"/>
      <c r="N610" s="38"/>
      <c r="P610" s="197"/>
      <c r="Q610" s="197"/>
      <c r="R610" s="197"/>
    </row>
    <row r="611" spans="2:18" s="5" customFormat="1">
      <c r="B611"/>
      <c r="C611" s="36"/>
      <c r="D611" s="23"/>
      <c r="E611" s="78"/>
      <c r="G611" s="123"/>
      <c r="H611" s="114"/>
      <c r="I611" s="27"/>
      <c r="J611" s="27"/>
      <c r="K611" s="27"/>
      <c r="L611" s="172"/>
      <c r="M611" s="42"/>
      <c r="N611" s="38"/>
      <c r="P611" s="197"/>
      <c r="Q611" s="197"/>
      <c r="R611" s="197"/>
    </row>
    <row r="612" spans="2:18" s="5" customFormat="1">
      <c r="B612"/>
      <c r="C612" s="36"/>
      <c r="D612" s="23"/>
      <c r="E612" s="78"/>
      <c r="G612" s="123"/>
      <c r="H612" s="114"/>
      <c r="I612" s="27"/>
      <c r="J612" s="27"/>
      <c r="K612" s="27"/>
      <c r="L612" s="172"/>
      <c r="M612" s="42"/>
      <c r="N612" s="38"/>
      <c r="P612" s="197"/>
      <c r="Q612" s="197"/>
      <c r="R612" s="197"/>
    </row>
    <row r="613" spans="2:18" s="5" customFormat="1">
      <c r="B613"/>
      <c r="C613" s="36"/>
      <c r="D613" s="23"/>
      <c r="E613" s="78"/>
      <c r="G613" s="123"/>
      <c r="H613" s="114"/>
      <c r="I613" s="27"/>
      <c r="J613" s="27"/>
      <c r="K613" s="27"/>
      <c r="L613" s="172"/>
      <c r="M613" s="42"/>
      <c r="N613" s="38"/>
      <c r="P613" s="197"/>
      <c r="Q613" s="197"/>
      <c r="R613" s="197"/>
    </row>
    <row r="614" spans="2:18" s="5" customFormat="1">
      <c r="B614"/>
      <c r="C614" s="36"/>
      <c r="D614" s="23"/>
      <c r="E614" s="78"/>
      <c r="G614" s="123"/>
      <c r="H614" s="114"/>
      <c r="I614" s="27"/>
      <c r="J614" s="27"/>
      <c r="K614" s="27"/>
      <c r="L614" s="172"/>
      <c r="M614" s="42"/>
      <c r="N614" s="38"/>
      <c r="P614" s="197"/>
      <c r="Q614" s="197"/>
      <c r="R614" s="197"/>
    </row>
    <row r="615" spans="2:18" s="5" customFormat="1">
      <c r="B615"/>
      <c r="C615" s="36"/>
      <c r="D615" s="23"/>
      <c r="E615" s="78"/>
      <c r="G615" s="123"/>
      <c r="H615" s="114"/>
      <c r="I615" s="27"/>
      <c r="J615" s="27"/>
      <c r="K615" s="27"/>
      <c r="L615" s="172"/>
      <c r="M615" s="42"/>
      <c r="N615" s="38"/>
      <c r="P615" s="197"/>
      <c r="Q615" s="197"/>
      <c r="R615" s="197"/>
    </row>
    <row r="616" spans="2:18" s="5" customFormat="1">
      <c r="B616"/>
      <c r="C616" s="36"/>
      <c r="D616" s="23"/>
      <c r="E616" s="78"/>
      <c r="G616" s="123"/>
      <c r="H616" s="114"/>
      <c r="I616" s="27"/>
      <c r="J616" s="27"/>
      <c r="K616" s="27"/>
      <c r="L616" s="172"/>
      <c r="M616" s="42"/>
      <c r="N616" s="38"/>
      <c r="P616" s="197"/>
      <c r="Q616" s="197"/>
      <c r="R616" s="197"/>
    </row>
    <row r="617" spans="2:18" s="5" customFormat="1">
      <c r="B617"/>
      <c r="C617" s="36"/>
      <c r="D617" s="23"/>
      <c r="E617" s="78"/>
      <c r="G617" s="123"/>
      <c r="H617" s="114"/>
      <c r="I617" s="27"/>
      <c r="J617" s="27"/>
      <c r="K617" s="27"/>
      <c r="L617" s="172"/>
      <c r="M617" s="42"/>
      <c r="N617" s="38"/>
      <c r="P617" s="197"/>
      <c r="Q617" s="197"/>
      <c r="R617" s="197"/>
    </row>
    <row r="618" spans="2:18" s="5" customFormat="1">
      <c r="B618"/>
      <c r="C618" s="36"/>
      <c r="D618" s="23"/>
      <c r="E618" s="78"/>
      <c r="G618" s="123"/>
      <c r="H618" s="114"/>
      <c r="I618" s="27"/>
      <c r="J618" s="27"/>
      <c r="K618" s="27"/>
      <c r="L618" s="172"/>
      <c r="M618" s="42"/>
      <c r="N618" s="38"/>
      <c r="P618" s="197"/>
      <c r="Q618" s="197"/>
      <c r="R618" s="197"/>
    </row>
    <row r="619" spans="2:18" s="5" customFormat="1">
      <c r="B619"/>
      <c r="C619" s="36"/>
      <c r="D619" s="23"/>
      <c r="E619" s="78"/>
      <c r="G619" s="123"/>
      <c r="H619" s="114"/>
      <c r="I619" s="27"/>
      <c r="J619" s="27"/>
      <c r="K619" s="27"/>
      <c r="L619" s="172"/>
      <c r="M619" s="42"/>
      <c r="N619" s="38"/>
      <c r="P619" s="197"/>
      <c r="Q619" s="197"/>
      <c r="R619" s="197"/>
    </row>
    <row r="620" spans="2:18" s="5" customFormat="1">
      <c r="B620"/>
      <c r="C620" s="36"/>
      <c r="D620" s="23"/>
      <c r="E620" s="78"/>
      <c r="G620" s="123"/>
      <c r="H620" s="114"/>
      <c r="I620" s="27"/>
      <c r="J620" s="27"/>
      <c r="K620" s="27"/>
      <c r="L620" s="172"/>
      <c r="M620" s="42"/>
      <c r="N620" s="38"/>
      <c r="P620" s="197"/>
      <c r="Q620" s="197"/>
      <c r="R620" s="197"/>
    </row>
    <row r="621" spans="2:18" s="5" customFormat="1">
      <c r="B621"/>
      <c r="C621" s="36"/>
      <c r="D621" s="23"/>
      <c r="E621" s="78"/>
      <c r="G621" s="123"/>
      <c r="H621" s="114"/>
      <c r="I621" s="27"/>
      <c r="J621" s="27"/>
      <c r="K621" s="27"/>
      <c r="L621" s="172"/>
      <c r="M621" s="42"/>
      <c r="N621" s="38"/>
      <c r="P621" s="197"/>
      <c r="Q621" s="197"/>
      <c r="R621" s="197"/>
    </row>
    <row r="622" spans="2:18" s="5" customFormat="1">
      <c r="B622"/>
      <c r="C622" s="36"/>
      <c r="D622" s="23"/>
      <c r="E622" s="78"/>
      <c r="G622" s="123"/>
      <c r="H622" s="114"/>
      <c r="I622" s="27"/>
      <c r="J622" s="27"/>
      <c r="K622" s="27"/>
      <c r="L622" s="172"/>
      <c r="M622" s="42"/>
      <c r="N622" s="38"/>
      <c r="P622" s="197"/>
      <c r="Q622" s="197"/>
      <c r="R622" s="197"/>
    </row>
    <row r="623" spans="2:18" s="5" customFormat="1">
      <c r="B623"/>
      <c r="C623" s="36"/>
      <c r="D623" s="23"/>
      <c r="E623" s="78"/>
      <c r="G623" s="123"/>
      <c r="H623" s="114"/>
      <c r="I623" s="27"/>
      <c r="J623" s="27"/>
      <c r="K623" s="27"/>
      <c r="L623" s="172"/>
      <c r="M623" s="42"/>
      <c r="N623" s="38"/>
      <c r="P623" s="197"/>
      <c r="Q623" s="197"/>
      <c r="R623" s="197"/>
    </row>
    <row r="624" spans="2:18" s="5" customFormat="1">
      <c r="B624"/>
      <c r="C624" s="36"/>
      <c r="D624" s="23"/>
      <c r="E624" s="78"/>
      <c r="G624" s="123"/>
      <c r="H624" s="114"/>
      <c r="I624" s="27"/>
      <c r="J624" s="27"/>
      <c r="K624" s="27"/>
      <c r="L624" s="172"/>
      <c r="M624" s="42"/>
      <c r="N624" s="38"/>
      <c r="P624" s="197"/>
      <c r="Q624" s="197"/>
      <c r="R624" s="197"/>
    </row>
    <row r="625" spans="2:18" s="5" customFormat="1">
      <c r="B625"/>
      <c r="C625" s="36"/>
      <c r="D625" s="23"/>
      <c r="E625" s="78"/>
      <c r="G625" s="123"/>
      <c r="H625" s="114"/>
      <c r="I625" s="27"/>
      <c r="J625" s="27"/>
      <c r="K625" s="27"/>
      <c r="L625" s="172"/>
      <c r="M625" s="42"/>
      <c r="N625" s="38"/>
      <c r="P625" s="197"/>
      <c r="Q625" s="197"/>
      <c r="R625" s="197"/>
    </row>
    <row r="626" spans="2:18" s="5" customFormat="1">
      <c r="B626"/>
      <c r="C626" s="36"/>
      <c r="D626" s="23"/>
      <c r="E626" s="78"/>
      <c r="G626" s="123"/>
      <c r="H626" s="114"/>
      <c r="I626" s="27"/>
      <c r="J626" s="27"/>
      <c r="K626" s="27"/>
      <c r="L626" s="172"/>
      <c r="M626" s="42"/>
      <c r="N626" s="38"/>
      <c r="P626" s="197"/>
      <c r="Q626" s="197"/>
      <c r="R626" s="197"/>
    </row>
    <row r="627" spans="2:18" s="5" customFormat="1">
      <c r="B627"/>
      <c r="C627" s="36"/>
      <c r="D627" s="23"/>
      <c r="E627" s="78"/>
      <c r="G627" s="123"/>
      <c r="H627" s="114"/>
      <c r="I627" s="27"/>
      <c r="J627" s="27"/>
      <c r="K627" s="27"/>
      <c r="L627" s="172"/>
      <c r="M627" s="42"/>
      <c r="N627" s="38"/>
      <c r="P627" s="197"/>
      <c r="Q627" s="197"/>
      <c r="R627" s="197"/>
    </row>
    <row r="628" spans="2:18" s="5" customFormat="1">
      <c r="B628"/>
      <c r="C628" s="36"/>
      <c r="D628" s="23"/>
      <c r="E628" s="78"/>
      <c r="G628" s="123"/>
      <c r="H628" s="114"/>
      <c r="I628" s="27"/>
      <c r="J628" s="27"/>
      <c r="K628" s="27"/>
      <c r="L628" s="172"/>
      <c r="M628" s="42"/>
      <c r="N628" s="38"/>
      <c r="P628" s="197"/>
      <c r="Q628" s="197"/>
      <c r="R628" s="197"/>
    </row>
    <row r="629" spans="2:18" s="5" customFormat="1">
      <c r="B629"/>
      <c r="C629" s="36"/>
      <c r="D629" s="23"/>
      <c r="E629" s="78"/>
      <c r="G629" s="123"/>
      <c r="H629" s="114"/>
      <c r="I629" s="27"/>
      <c r="J629" s="27"/>
      <c r="K629" s="27"/>
      <c r="L629" s="172"/>
      <c r="M629" s="42"/>
      <c r="N629" s="38"/>
      <c r="P629" s="197"/>
      <c r="Q629" s="197"/>
      <c r="R629" s="197"/>
    </row>
    <row r="630" spans="2:18" s="5" customFormat="1">
      <c r="B630"/>
      <c r="C630" s="36"/>
      <c r="D630" s="23"/>
      <c r="E630" s="78"/>
      <c r="G630" s="123"/>
      <c r="H630" s="114"/>
      <c r="I630" s="27"/>
      <c r="J630" s="27"/>
      <c r="K630" s="27"/>
      <c r="L630" s="172"/>
      <c r="M630" s="42"/>
      <c r="N630" s="38"/>
      <c r="P630" s="197"/>
      <c r="Q630" s="197"/>
      <c r="R630" s="197"/>
    </row>
    <row r="631" spans="2:18" s="5" customFormat="1">
      <c r="B631"/>
      <c r="C631" s="36"/>
      <c r="D631" s="23"/>
      <c r="E631" s="78"/>
      <c r="G631" s="123"/>
      <c r="H631" s="114"/>
      <c r="I631" s="27"/>
      <c r="J631" s="27"/>
      <c r="K631" s="27"/>
      <c r="L631" s="172"/>
      <c r="M631" s="42"/>
      <c r="N631" s="38"/>
      <c r="P631" s="197"/>
      <c r="Q631" s="197"/>
      <c r="R631" s="197"/>
    </row>
    <row r="632" spans="2:18" s="5" customFormat="1">
      <c r="B632"/>
      <c r="C632" s="36"/>
      <c r="D632" s="23"/>
      <c r="E632" s="78"/>
      <c r="G632" s="123"/>
      <c r="H632" s="114"/>
      <c r="I632" s="27"/>
      <c r="J632" s="27"/>
      <c r="K632" s="27"/>
      <c r="L632" s="172"/>
      <c r="M632" s="42"/>
      <c r="N632" s="38"/>
      <c r="P632" s="197"/>
      <c r="Q632" s="197"/>
      <c r="R632" s="197"/>
    </row>
    <row r="633" spans="2:18" s="5" customFormat="1">
      <c r="B633"/>
      <c r="C633" s="36"/>
      <c r="D633" s="23"/>
      <c r="E633" s="78"/>
      <c r="G633" s="123"/>
      <c r="H633" s="114"/>
      <c r="I633" s="27"/>
      <c r="J633" s="27"/>
      <c r="K633" s="27"/>
      <c r="L633" s="172"/>
      <c r="M633" s="42"/>
      <c r="N633" s="38"/>
      <c r="P633" s="197"/>
      <c r="Q633" s="197"/>
      <c r="R633" s="197"/>
    </row>
    <row r="634" spans="2:18" s="5" customFormat="1">
      <c r="B634"/>
      <c r="C634" s="36"/>
      <c r="D634" s="23"/>
      <c r="E634" s="78"/>
      <c r="G634" s="123"/>
      <c r="H634" s="114"/>
      <c r="I634" s="27"/>
      <c r="J634" s="27"/>
      <c r="K634" s="27"/>
      <c r="L634" s="172"/>
      <c r="M634" s="42"/>
      <c r="N634" s="38"/>
      <c r="P634" s="197"/>
      <c r="Q634" s="197"/>
      <c r="R634" s="197"/>
    </row>
    <row r="635" spans="2:18" s="5" customFormat="1">
      <c r="B635"/>
      <c r="C635" s="36"/>
      <c r="D635" s="23"/>
      <c r="E635" s="78"/>
      <c r="G635" s="123"/>
      <c r="H635" s="114"/>
      <c r="I635" s="27"/>
      <c r="J635" s="27"/>
      <c r="K635" s="27"/>
      <c r="L635" s="172"/>
      <c r="M635" s="42"/>
      <c r="N635" s="38"/>
      <c r="P635" s="197"/>
      <c r="Q635" s="197"/>
      <c r="R635" s="197"/>
    </row>
    <row r="636" spans="2:18" s="5" customFormat="1">
      <c r="B636"/>
      <c r="C636" s="36"/>
      <c r="D636" s="23"/>
      <c r="E636" s="78"/>
      <c r="G636" s="123"/>
      <c r="H636" s="114"/>
      <c r="I636" s="27"/>
      <c r="J636" s="27"/>
      <c r="K636" s="27"/>
      <c r="L636" s="172"/>
      <c r="M636" s="42"/>
      <c r="N636" s="38"/>
      <c r="P636" s="197"/>
      <c r="Q636" s="197"/>
      <c r="R636" s="197"/>
    </row>
    <row r="637" spans="2:18" s="5" customFormat="1">
      <c r="B637"/>
      <c r="C637" s="36"/>
      <c r="D637" s="23"/>
      <c r="E637" s="78"/>
      <c r="G637" s="123"/>
      <c r="H637" s="114"/>
      <c r="I637" s="27"/>
      <c r="J637" s="27"/>
      <c r="K637" s="27"/>
      <c r="L637" s="172"/>
      <c r="M637" s="42"/>
      <c r="N637" s="38"/>
      <c r="P637" s="197"/>
      <c r="Q637" s="197"/>
      <c r="R637" s="197"/>
    </row>
    <row r="638" spans="2:18" s="5" customFormat="1">
      <c r="B638"/>
      <c r="C638" s="36"/>
      <c r="D638" s="23"/>
      <c r="E638" s="78"/>
      <c r="G638" s="123"/>
      <c r="H638" s="114"/>
      <c r="I638" s="27"/>
      <c r="J638" s="27"/>
      <c r="K638" s="27"/>
      <c r="L638" s="172"/>
      <c r="M638" s="42"/>
      <c r="N638" s="38"/>
      <c r="P638" s="197"/>
      <c r="Q638" s="197"/>
      <c r="R638" s="197"/>
    </row>
    <row r="639" spans="2:18" s="5" customFormat="1">
      <c r="B639"/>
      <c r="C639" s="36"/>
      <c r="D639" s="23"/>
      <c r="E639" s="78"/>
      <c r="G639" s="123"/>
      <c r="H639" s="114"/>
      <c r="I639" s="27"/>
      <c r="J639" s="27"/>
      <c r="K639" s="27"/>
      <c r="L639" s="172"/>
      <c r="M639" s="42"/>
      <c r="N639" s="38"/>
      <c r="P639" s="197"/>
      <c r="Q639" s="197"/>
      <c r="R639" s="197"/>
    </row>
    <row r="640" spans="2:18" s="5" customFormat="1">
      <c r="B640"/>
      <c r="C640" s="36"/>
      <c r="D640" s="23"/>
      <c r="E640" s="78"/>
      <c r="G640" s="123"/>
      <c r="H640" s="114"/>
      <c r="I640" s="27"/>
      <c r="J640" s="27"/>
      <c r="K640" s="27"/>
      <c r="L640" s="172"/>
      <c r="M640" s="42"/>
      <c r="N640" s="38"/>
      <c r="P640" s="197"/>
      <c r="Q640" s="197"/>
      <c r="R640" s="197"/>
    </row>
    <row r="641" spans="2:18" s="5" customFormat="1">
      <c r="B641"/>
      <c r="C641" s="36"/>
      <c r="D641" s="23"/>
      <c r="E641" s="78"/>
      <c r="G641" s="123"/>
      <c r="H641" s="114"/>
      <c r="I641" s="27"/>
      <c r="J641" s="27"/>
      <c r="K641" s="27"/>
      <c r="L641" s="172"/>
      <c r="M641" s="42"/>
      <c r="N641" s="38"/>
      <c r="P641" s="197"/>
      <c r="Q641" s="197"/>
      <c r="R641" s="197"/>
    </row>
    <row r="642" spans="2:18" s="5" customFormat="1">
      <c r="B642"/>
      <c r="C642" s="36"/>
      <c r="D642" s="23"/>
      <c r="E642" s="78"/>
      <c r="G642" s="123"/>
      <c r="H642" s="114"/>
      <c r="I642" s="27"/>
      <c r="J642" s="27"/>
      <c r="K642" s="27"/>
      <c r="L642" s="172"/>
      <c r="M642" s="42"/>
      <c r="N642" s="38"/>
      <c r="P642" s="197"/>
      <c r="Q642" s="197"/>
      <c r="R642" s="197"/>
    </row>
    <row r="643" spans="2:18" s="5" customFormat="1">
      <c r="B643"/>
      <c r="C643" s="36"/>
      <c r="D643" s="23"/>
      <c r="E643" s="78"/>
      <c r="G643" s="123"/>
      <c r="H643" s="114"/>
      <c r="I643" s="27"/>
      <c r="J643" s="27"/>
      <c r="K643" s="27"/>
      <c r="L643" s="172"/>
      <c r="M643" s="42"/>
      <c r="N643" s="38"/>
      <c r="P643" s="197"/>
      <c r="Q643" s="197"/>
      <c r="R643" s="197"/>
    </row>
    <row r="644" spans="2:18" s="5" customFormat="1">
      <c r="B644"/>
      <c r="C644" s="36"/>
      <c r="D644" s="23"/>
      <c r="E644" s="78"/>
      <c r="G644" s="123"/>
      <c r="H644" s="114"/>
      <c r="I644" s="27"/>
      <c r="J644" s="27"/>
      <c r="K644" s="27"/>
      <c r="L644" s="172"/>
      <c r="M644" s="42"/>
      <c r="N644" s="38"/>
      <c r="P644" s="197"/>
      <c r="Q644" s="197"/>
      <c r="R644" s="197"/>
    </row>
    <row r="645" spans="2:18" s="5" customFormat="1">
      <c r="B645"/>
      <c r="C645" s="36"/>
      <c r="D645" s="23"/>
      <c r="E645" s="78"/>
      <c r="G645" s="123"/>
      <c r="H645" s="114"/>
      <c r="I645" s="27"/>
      <c r="J645" s="27"/>
      <c r="K645" s="27"/>
      <c r="L645" s="172"/>
      <c r="M645" s="42"/>
      <c r="N645" s="38"/>
      <c r="P645" s="197"/>
      <c r="Q645" s="197"/>
      <c r="R645" s="197"/>
    </row>
    <row r="646" spans="2:18" s="5" customFormat="1">
      <c r="B646"/>
      <c r="C646" s="36"/>
      <c r="D646" s="23"/>
      <c r="E646" s="78"/>
      <c r="G646" s="123"/>
      <c r="H646" s="114"/>
      <c r="I646" s="27"/>
      <c r="J646" s="27"/>
      <c r="K646" s="27"/>
      <c r="L646" s="172"/>
      <c r="M646" s="42"/>
      <c r="N646" s="38"/>
      <c r="P646" s="197"/>
      <c r="Q646" s="197"/>
      <c r="R646" s="197"/>
    </row>
    <row r="647" spans="2:18" s="5" customFormat="1">
      <c r="B647"/>
      <c r="C647" s="36"/>
      <c r="D647" s="23"/>
      <c r="E647" s="78"/>
      <c r="G647" s="123"/>
      <c r="H647" s="114"/>
      <c r="I647" s="27"/>
      <c r="J647" s="27"/>
      <c r="K647" s="27"/>
      <c r="L647" s="172"/>
      <c r="M647" s="42"/>
      <c r="N647" s="38"/>
      <c r="P647" s="197"/>
      <c r="Q647" s="197"/>
      <c r="R647" s="197"/>
    </row>
    <row r="648" spans="2:18" s="5" customFormat="1">
      <c r="B648"/>
      <c r="C648" s="36"/>
      <c r="D648" s="23"/>
      <c r="E648" s="78"/>
      <c r="G648" s="123"/>
      <c r="H648" s="114"/>
      <c r="I648" s="27"/>
      <c r="J648" s="27"/>
      <c r="K648" s="27"/>
      <c r="L648" s="172"/>
      <c r="M648" s="42"/>
      <c r="N648" s="38"/>
      <c r="P648" s="197"/>
      <c r="Q648" s="197"/>
      <c r="R648" s="197"/>
    </row>
    <row r="649" spans="2:18" s="5" customFormat="1">
      <c r="B649"/>
      <c r="C649" s="36"/>
      <c r="D649" s="23"/>
      <c r="E649" s="78"/>
      <c r="G649" s="123"/>
      <c r="H649" s="114"/>
      <c r="I649" s="27"/>
      <c r="J649" s="27"/>
      <c r="K649" s="27"/>
      <c r="L649" s="172"/>
      <c r="M649" s="42"/>
      <c r="N649" s="38"/>
      <c r="P649" s="197"/>
      <c r="Q649" s="197"/>
      <c r="R649" s="197"/>
    </row>
    <row r="650" spans="2:18" s="5" customFormat="1">
      <c r="B650"/>
      <c r="C650" s="36"/>
      <c r="D650" s="23"/>
      <c r="E650" s="78"/>
      <c r="G650" s="123"/>
      <c r="H650" s="114"/>
      <c r="I650" s="27"/>
      <c r="J650" s="27"/>
      <c r="K650" s="27"/>
      <c r="L650" s="172"/>
      <c r="M650" s="42"/>
      <c r="N650" s="38"/>
      <c r="P650" s="197"/>
      <c r="Q650" s="197"/>
      <c r="R650" s="197"/>
    </row>
    <row r="651" spans="2:18" s="5" customFormat="1">
      <c r="B651"/>
      <c r="C651" s="36"/>
      <c r="D651" s="23"/>
      <c r="E651" s="78"/>
      <c r="G651" s="123"/>
      <c r="H651" s="114"/>
      <c r="I651" s="27"/>
      <c r="J651" s="27"/>
      <c r="K651" s="27"/>
      <c r="L651" s="172"/>
      <c r="M651" s="42"/>
      <c r="N651" s="38"/>
      <c r="P651" s="197"/>
      <c r="Q651" s="197"/>
      <c r="R651" s="197"/>
    </row>
    <row r="652" spans="2:18" s="5" customFormat="1">
      <c r="B652"/>
      <c r="C652" s="36"/>
      <c r="D652" s="23"/>
      <c r="E652" s="78"/>
      <c r="G652" s="123"/>
      <c r="H652" s="114"/>
      <c r="I652" s="27"/>
      <c r="J652" s="27"/>
      <c r="K652" s="27"/>
      <c r="L652" s="172"/>
      <c r="M652" s="42"/>
      <c r="N652" s="38"/>
      <c r="P652" s="197"/>
      <c r="Q652" s="197"/>
      <c r="R652" s="197"/>
    </row>
    <row r="653" spans="2:18" s="5" customFormat="1">
      <c r="B653"/>
      <c r="C653" s="36"/>
      <c r="D653" s="23"/>
      <c r="E653" s="78"/>
      <c r="G653" s="123"/>
      <c r="H653" s="114"/>
      <c r="I653" s="27"/>
      <c r="J653" s="27"/>
      <c r="K653" s="27"/>
      <c r="L653" s="172"/>
      <c r="M653" s="42"/>
      <c r="N653" s="38"/>
      <c r="P653" s="197"/>
      <c r="Q653" s="197"/>
      <c r="R653" s="197"/>
    </row>
    <row r="654" spans="2:18" s="5" customFormat="1">
      <c r="B654"/>
      <c r="C654" s="36"/>
      <c r="D654" s="23"/>
      <c r="E654" s="78"/>
      <c r="G654" s="123"/>
      <c r="H654" s="114"/>
      <c r="I654" s="27"/>
      <c r="J654" s="27"/>
      <c r="K654" s="27"/>
      <c r="L654" s="172"/>
      <c r="M654" s="42"/>
      <c r="N654" s="38"/>
      <c r="P654" s="197"/>
      <c r="Q654" s="197"/>
      <c r="R654" s="197"/>
    </row>
    <row r="655" spans="2:18" s="5" customFormat="1">
      <c r="B655"/>
      <c r="C655" s="36"/>
      <c r="D655" s="23"/>
      <c r="E655" s="78"/>
      <c r="G655" s="123"/>
      <c r="H655" s="114"/>
      <c r="I655" s="27"/>
      <c r="J655" s="27"/>
      <c r="K655" s="27"/>
      <c r="L655" s="172"/>
      <c r="M655" s="42"/>
      <c r="N655" s="38"/>
      <c r="P655" s="197"/>
      <c r="Q655" s="197"/>
      <c r="R655" s="197"/>
    </row>
    <row r="656" spans="2:18" s="5" customFormat="1">
      <c r="B656"/>
      <c r="C656" s="36"/>
      <c r="D656" s="23"/>
      <c r="E656" s="78"/>
      <c r="G656" s="123"/>
      <c r="H656" s="114"/>
      <c r="I656" s="27"/>
      <c r="J656" s="27"/>
      <c r="K656" s="27"/>
      <c r="L656" s="172"/>
      <c r="M656" s="42"/>
      <c r="N656" s="38"/>
      <c r="P656" s="197"/>
      <c r="Q656" s="197"/>
      <c r="R656" s="197"/>
    </row>
    <row r="657" spans="2:18" s="5" customFormat="1">
      <c r="B657"/>
      <c r="C657" s="36"/>
      <c r="D657" s="23"/>
      <c r="E657" s="78"/>
      <c r="G657" s="123"/>
      <c r="H657" s="114"/>
      <c r="I657" s="27"/>
      <c r="J657" s="27"/>
      <c r="K657" s="27"/>
      <c r="L657" s="172"/>
      <c r="M657" s="42"/>
      <c r="N657" s="38"/>
      <c r="P657" s="197"/>
      <c r="Q657" s="197"/>
      <c r="R657" s="197"/>
    </row>
    <row r="658" spans="2:18" s="5" customFormat="1">
      <c r="B658"/>
      <c r="C658" s="36"/>
      <c r="D658" s="23"/>
      <c r="E658" s="78"/>
      <c r="G658" s="123"/>
      <c r="H658" s="114"/>
      <c r="I658" s="27"/>
      <c r="J658" s="27"/>
      <c r="K658" s="27"/>
      <c r="L658" s="172"/>
      <c r="M658" s="42"/>
      <c r="N658" s="38"/>
      <c r="P658" s="197"/>
      <c r="Q658" s="197"/>
      <c r="R658" s="197"/>
    </row>
    <row r="659" spans="2:18" s="5" customFormat="1">
      <c r="B659"/>
      <c r="C659" s="36"/>
      <c r="D659" s="23"/>
      <c r="E659" s="78"/>
      <c r="G659" s="123"/>
      <c r="H659" s="114"/>
      <c r="I659" s="27"/>
      <c r="J659" s="27"/>
      <c r="K659" s="27"/>
      <c r="L659" s="172"/>
      <c r="M659" s="42"/>
      <c r="N659" s="38"/>
      <c r="P659" s="197"/>
      <c r="Q659" s="197"/>
      <c r="R659" s="197"/>
    </row>
    <row r="660" spans="2:18" s="5" customFormat="1">
      <c r="B660"/>
      <c r="C660" s="36"/>
      <c r="D660" s="23"/>
      <c r="E660" s="78"/>
      <c r="G660" s="123"/>
      <c r="H660" s="114"/>
      <c r="I660" s="27"/>
      <c r="J660" s="27"/>
      <c r="K660" s="27"/>
      <c r="L660" s="172"/>
      <c r="M660" s="42"/>
      <c r="N660" s="38"/>
      <c r="P660" s="197"/>
      <c r="Q660" s="197"/>
      <c r="R660" s="197"/>
    </row>
    <row r="661" spans="2:18" s="5" customFormat="1">
      <c r="B661"/>
      <c r="C661" s="36"/>
      <c r="D661" s="23"/>
      <c r="E661" s="78"/>
      <c r="G661" s="123"/>
      <c r="H661" s="114"/>
      <c r="I661" s="27"/>
      <c r="J661" s="27"/>
      <c r="K661" s="27"/>
      <c r="L661" s="172"/>
      <c r="M661" s="42"/>
      <c r="N661" s="38"/>
      <c r="P661" s="197"/>
      <c r="Q661" s="197"/>
      <c r="R661" s="197"/>
    </row>
    <row r="662" spans="2:18" s="5" customFormat="1">
      <c r="B662"/>
      <c r="C662" s="36"/>
      <c r="D662" s="23"/>
      <c r="E662" s="78"/>
      <c r="G662" s="123"/>
      <c r="H662" s="114"/>
      <c r="I662" s="27"/>
      <c r="J662" s="27"/>
      <c r="K662" s="27"/>
      <c r="L662" s="172"/>
      <c r="M662" s="42"/>
      <c r="N662" s="38"/>
      <c r="P662" s="197"/>
      <c r="Q662" s="197"/>
      <c r="R662" s="197"/>
    </row>
    <row r="663" spans="2:18" s="5" customFormat="1">
      <c r="B663"/>
      <c r="C663" s="36"/>
      <c r="D663" s="23"/>
      <c r="E663" s="78"/>
      <c r="G663" s="123"/>
      <c r="H663" s="114"/>
      <c r="I663" s="27"/>
      <c r="J663" s="27"/>
      <c r="K663" s="27"/>
      <c r="L663" s="172"/>
      <c r="M663" s="42"/>
      <c r="N663" s="38"/>
      <c r="P663" s="197"/>
      <c r="Q663" s="197"/>
      <c r="R663" s="197"/>
    </row>
    <row r="664" spans="2:18" s="5" customFormat="1">
      <c r="B664"/>
      <c r="C664" s="36"/>
      <c r="D664" s="23"/>
      <c r="E664" s="78"/>
      <c r="G664" s="123"/>
      <c r="H664" s="114"/>
      <c r="I664" s="27"/>
      <c r="J664" s="27"/>
      <c r="K664" s="27"/>
      <c r="L664" s="172"/>
      <c r="M664" s="42"/>
      <c r="N664" s="38"/>
      <c r="P664" s="197"/>
      <c r="Q664" s="197"/>
      <c r="R664" s="197"/>
    </row>
    <row r="665" spans="2:18" s="5" customFormat="1">
      <c r="B665"/>
      <c r="C665" s="36"/>
      <c r="D665" s="23"/>
      <c r="E665" s="78"/>
      <c r="G665" s="123"/>
      <c r="H665" s="114"/>
      <c r="I665" s="27"/>
      <c r="J665" s="27"/>
      <c r="K665" s="27"/>
      <c r="L665" s="172"/>
      <c r="M665" s="42"/>
      <c r="N665" s="38"/>
      <c r="P665" s="197"/>
      <c r="Q665" s="197"/>
      <c r="R665" s="197"/>
    </row>
    <row r="666" spans="2:18" s="5" customFormat="1">
      <c r="B666"/>
      <c r="C666" s="36"/>
      <c r="D666" s="23"/>
      <c r="E666" s="78"/>
      <c r="G666" s="123"/>
      <c r="H666" s="114"/>
      <c r="I666" s="27"/>
      <c r="J666" s="27"/>
      <c r="K666" s="27"/>
      <c r="L666" s="172"/>
      <c r="M666" s="42"/>
      <c r="N666" s="38"/>
      <c r="P666" s="197"/>
      <c r="Q666" s="197"/>
      <c r="R666" s="197"/>
    </row>
    <row r="667" spans="2:18" s="5" customFormat="1">
      <c r="B667"/>
      <c r="C667" s="36"/>
      <c r="D667" s="23"/>
      <c r="E667" s="78"/>
      <c r="G667" s="123"/>
      <c r="H667" s="114"/>
      <c r="I667" s="27"/>
      <c r="J667" s="27"/>
      <c r="K667" s="27"/>
      <c r="L667" s="172"/>
      <c r="M667" s="42"/>
      <c r="N667" s="38"/>
      <c r="P667" s="197"/>
      <c r="Q667" s="197"/>
      <c r="R667" s="197"/>
    </row>
    <row r="668" spans="2:18" s="5" customFormat="1">
      <c r="B668"/>
      <c r="C668" s="36"/>
      <c r="D668" s="23"/>
      <c r="E668" s="78"/>
      <c r="G668" s="123"/>
      <c r="H668" s="114"/>
      <c r="I668" s="27"/>
      <c r="J668" s="27"/>
      <c r="K668" s="27"/>
      <c r="L668" s="172"/>
      <c r="M668" s="42"/>
      <c r="N668" s="38"/>
      <c r="P668" s="197"/>
      <c r="Q668" s="197"/>
      <c r="R668" s="197"/>
    </row>
    <row r="669" spans="2:18" s="5" customFormat="1">
      <c r="B669"/>
      <c r="C669" s="36"/>
      <c r="D669" s="23"/>
      <c r="E669" s="78"/>
      <c r="G669" s="123"/>
      <c r="H669" s="114"/>
      <c r="I669" s="27"/>
      <c r="J669" s="27"/>
      <c r="K669" s="27"/>
      <c r="L669" s="172"/>
      <c r="M669" s="42"/>
      <c r="N669" s="38"/>
      <c r="P669" s="197"/>
      <c r="Q669" s="197"/>
      <c r="R669" s="197"/>
    </row>
    <row r="670" spans="2:18" s="5" customFormat="1">
      <c r="B670"/>
      <c r="C670" s="36"/>
      <c r="D670" s="23"/>
      <c r="E670" s="78"/>
      <c r="G670" s="123"/>
      <c r="H670" s="114"/>
      <c r="I670" s="27"/>
      <c r="J670" s="27"/>
      <c r="K670" s="27"/>
      <c r="L670" s="172"/>
      <c r="M670" s="42"/>
      <c r="N670" s="38"/>
      <c r="P670" s="197"/>
      <c r="Q670" s="197"/>
      <c r="R670" s="197"/>
    </row>
    <row r="671" spans="2:18" s="5" customFormat="1">
      <c r="B671"/>
      <c r="C671" s="36"/>
      <c r="D671" s="23"/>
      <c r="E671" s="78"/>
      <c r="G671" s="123"/>
      <c r="H671" s="114"/>
      <c r="I671" s="27"/>
      <c r="J671" s="27"/>
      <c r="K671" s="27"/>
      <c r="L671" s="172"/>
      <c r="M671" s="42"/>
      <c r="N671" s="38"/>
      <c r="P671" s="197"/>
      <c r="Q671" s="197"/>
      <c r="R671" s="197"/>
    </row>
    <row r="672" spans="2:18" s="5" customFormat="1">
      <c r="B672"/>
      <c r="C672" s="36"/>
      <c r="D672" s="23"/>
      <c r="E672" s="78"/>
      <c r="G672" s="123"/>
      <c r="H672" s="114"/>
      <c r="I672" s="27"/>
      <c r="J672" s="27"/>
      <c r="K672" s="27"/>
      <c r="L672" s="172"/>
      <c r="M672" s="42"/>
      <c r="N672" s="38"/>
      <c r="P672" s="197"/>
      <c r="Q672" s="197"/>
      <c r="R672" s="197"/>
    </row>
    <row r="673" spans="2:18" s="5" customFormat="1">
      <c r="B673"/>
      <c r="C673" s="36"/>
      <c r="D673" s="23"/>
      <c r="E673" s="78"/>
      <c r="G673" s="123"/>
      <c r="H673" s="114"/>
      <c r="I673" s="27"/>
      <c r="J673" s="27"/>
      <c r="K673" s="27"/>
      <c r="L673" s="172"/>
      <c r="M673" s="42"/>
      <c r="N673" s="38"/>
      <c r="P673" s="197"/>
      <c r="Q673" s="197"/>
      <c r="R673" s="197"/>
    </row>
    <row r="674" spans="2:18" s="5" customFormat="1">
      <c r="B674"/>
      <c r="C674" s="36"/>
      <c r="D674" s="23"/>
      <c r="E674" s="78"/>
      <c r="G674" s="123"/>
      <c r="H674" s="114"/>
      <c r="I674" s="27"/>
      <c r="J674" s="27"/>
      <c r="K674" s="27"/>
      <c r="L674" s="172"/>
      <c r="M674" s="42"/>
      <c r="N674" s="38"/>
      <c r="P674" s="197"/>
      <c r="Q674" s="197"/>
      <c r="R674" s="197"/>
    </row>
    <row r="675" spans="2:18" s="5" customFormat="1">
      <c r="B675"/>
      <c r="C675" s="36"/>
      <c r="D675" s="23"/>
      <c r="E675" s="78"/>
      <c r="G675" s="123"/>
      <c r="H675" s="114"/>
      <c r="I675" s="27"/>
      <c r="J675" s="27"/>
      <c r="K675" s="27"/>
      <c r="L675" s="172"/>
      <c r="M675" s="42"/>
      <c r="N675" s="38"/>
      <c r="P675" s="197"/>
      <c r="Q675" s="197"/>
      <c r="R675" s="197"/>
    </row>
    <row r="676" spans="2:18" s="5" customFormat="1">
      <c r="B676"/>
      <c r="C676" s="36"/>
      <c r="D676" s="23"/>
      <c r="E676" s="78"/>
      <c r="G676" s="123"/>
      <c r="H676" s="114"/>
      <c r="I676" s="27"/>
      <c r="J676" s="27"/>
      <c r="K676" s="27"/>
      <c r="L676" s="172"/>
      <c r="M676" s="42"/>
      <c r="N676" s="38"/>
      <c r="P676" s="197"/>
      <c r="Q676" s="197"/>
      <c r="R676" s="197"/>
    </row>
    <row r="677" spans="2:18" s="5" customFormat="1">
      <c r="B677"/>
      <c r="C677" s="36"/>
      <c r="D677" s="23"/>
      <c r="E677" s="78"/>
      <c r="G677" s="123"/>
      <c r="H677" s="114"/>
      <c r="I677" s="27"/>
      <c r="J677" s="27"/>
      <c r="K677" s="27"/>
      <c r="L677" s="172"/>
      <c r="M677" s="42"/>
      <c r="N677" s="38"/>
      <c r="P677" s="197"/>
      <c r="Q677" s="197"/>
      <c r="R677" s="197"/>
    </row>
    <row r="678" spans="2:18" s="5" customFormat="1">
      <c r="B678"/>
      <c r="C678" s="36"/>
      <c r="D678" s="23"/>
      <c r="E678" s="78"/>
      <c r="G678" s="123"/>
      <c r="H678" s="114"/>
      <c r="I678" s="27"/>
      <c r="J678" s="27"/>
      <c r="K678" s="27"/>
      <c r="L678" s="172"/>
      <c r="M678" s="42"/>
      <c r="N678" s="38"/>
      <c r="P678" s="197"/>
      <c r="Q678" s="197"/>
      <c r="R678" s="197"/>
    </row>
    <row r="679" spans="2:18" s="5" customFormat="1">
      <c r="B679"/>
      <c r="C679" s="36"/>
      <c r="D679" s="23"/>
      <c r="E679" s="78"/>
      <c r="G679" s="123"/>
      <c r="H679" s="114"/>
      <c r="I679" s="27"/>
      <c r="J679" s="27"/>
      <c r="K679" s="27"/>
      <c r="L679" s="172"/>
      <c r="M679" s="42"/>
      <c r="N679" s="38"/>
      <c r="P679" s="197"/>
      <c r="Q679" s="197"/>
      <c r="R679" s="197"/>
    </row>
    <row r="680" spans="2:18" s="5" customFormat="1">
      <c r="B680"/>
      <c r="C680" s="36"/>
      <c r="D680" s="23"/>
      <c r="E680" s="78"/>
      <c r="G680" s="123"/>
      <c r="H680" s="114"/>
      <c r="I680" s="27"/>
      <c r="J680" s="27"/>
      <c r="K680" s="27"/>
      <c r="L680" s="172"/>
      <c r="M680" s="42"/>
      <c r="N680" s="38"/>
      <c r="P680" s="197"/>
      <c r="Q680" s="197"/>
      <c r="R680" s="197"/>
    </row>
    <row r="681" spans="2:18" s="5" customFormat="1">
      <c r="B681"/>
      <c r="C681" s="36"/>
      <c r="D681" s="23"/>
      <c r="E681" s="78"/>
      <c r="G681" s="123"/>
      <c r="H681" s="114"/>
      <c r="I681" s="27"/>
      <c r="J681" s="27"/>
      <c r="K681" s="27"/>
      <c r="L681" s="172"/>
      <c r="M681" s="42"/>
      <c r="N681" s="38"/>
      <c r="P681" s="197"/>
      <c r="Q681" s="197"/>
      <c r="R681" s="197"/>
    </row>
    <row r="682" spans="2:18" s="5" customFormat="1">
      <c r="B682"/>
      <c r="C682" s="36"/>
      <c r="D682" s="23"/>
      <c r="E682" s="78"/>
      <c r="G682" s="123"/>
      <c r="H682" s="114"/>
      <c r="I682" s="27"/>
      <c r="J682" s="27"/>
      <c r="K682" s="27"/>
      <c r="L682" s="172"/>
      <c r="M682" s="42"/>
      <c r="N682" s="38"/>
      <c r="P682" s="197"/>
      <c r="Q682" s="197"/>
      <c r="R682" s="197"/>
    </row>
    <row r="683" spans="2:18" s="5" customFormat="1">
      <c r="B683"/>
      <c r="C683" s="36"/>
      <c r="D683" s="23"/>
      <c r="E683" s="78"/>
      <c r="G683" s="123"/>
      <c r="H683" s="114"/>
      <c r="I683" s="27"/>
      <c r="J683" s="27"/>
      <c r="K683" s="27"/>
      <c r="L683" s="172"/>
      <c r="M683" s="42"/>
      <c r="N683" s="38"/>
      <c r="P683" s="197"/>
      <c r="Q683" s="197"/>
      <c r="R683" s="197"/>
    </row>
    <row r="684" spans="2:18" s="5" customFormat="1">
      <c r="B684"/>
      <c r="C684" s="36"/>
      <c r="D684" s="23"/>
      <c r="E684" s="78"/>
      <c r="G684" s="123"/>
      <c r="H684" s="114"/>
      <c r="I684" s="27"/>
      <c r="J684" s="27"/>
      <c r="K684" s="27"/>
      <c r="L684" s="172"/>
      <c r="M684" s="42"/>
      <c r="N684" s="38"/>
      <c r="P684" s="197"/>
      <c r="Q684" s="197"/>
      <c r="R684" s="197"/>
    </row>
    <row r="685" spans="2:18" s="5" customFormat="1">
      <c r="B685"/>
      <c r="C685" s="36"/>
      <c r="D685" s="23"/>
      <c r="E685" s="78"/>
      <c r="G685" s="123"/>
      <c r="H685" s="114"/>
      <c r="I685" s="27"/>
      <c r="J685" s="27"/>
      <c r="K685" s="27"/>
      <c r="L685" s="172"/>
      <c r="M685" s="42"/>
      <c r="N685" s="38"/>
      <c r="P685" s="197"/>
      <c r="Q685" s="197"/>
      <c r="R685" s="197"/>
    </row>
    <row r="686" spans="2:18" s="5" customFormat="1">
      <c r="B686"/>
      <c r="C686" s="36"/>
      <c r="D686" s="23"/>
      <c r="E686" s="78"/>
      <c r="G686" s="123"/>
      <c r="H686" s="114"/>
      <c r="I686" s="27"/>
      <c r="J686" s="27"/>
      <c r="K686" s="27"/>
      <c r="L686" s="172"/>
      <c r="M686" s="42"/>
      <c r="N686" s="38"/>
      <c r="P686" s="197"/>
      <c r="Q686" s="197"/>
      <c r="R686" s="197"/>
    </row>
    <row r="687" spans="2:18" s="5" customFormat="1">
      <c r="B687"/>
      <c r="C687" s="36"/>
      <c r="D687" s="23"/>
      <c r="E687" s="78"/>
      <c r="G687" s="123"/>
      <c r="H687" s="114"/>
      <c r="I687" s="27"/>
      <c r="J687" s="27"/>
      <c r="K687" s="27"/>
      <c r="L687" s="172"/>
      <c r="M687" s="42"/>
      <c r="N687" s="38"/>
      <c r="P687" s="197"/>
      <c r="Q687" s="197"/>
      <c r="R687" s="197"/>
    </row>
    <row r="688" spans="2:18" s="5" customFormat="1">
      <c r="B688"/>
      <c r="C688" s="36"/>
      <c r="D688" s="23"/>
      <c r="E688" s="78"/>
      <c r="G688" s="123"/>
      <c r="H688" s="114"/>
      <c r="I688" s="27"/>
      <c r="J688" s="27"/>
      <c r="K688" s="27"/>
      <c r="L688" s="172"/>
      <c r="M688" s="42"/>
      <c r="N688" s="38"/>
      <c r="P688" s="197"/>
      <c r="Q688" s="197"/>
      <c r="R688" s="197"/>
    </row>
    <row r="689" spans="2:18" s="5" customFormat="1">
      <c r="B689"/>
      <c r="C689" s="36"/>
      <c r="D689" s="23"/>
      <c r="E689" s="78"/>
      <c r="G689" s="123"/>
      <c r="H689" s="114"/>
      <c r="I689" s="27"/>
      <c r="J689" s="27"/>
      <c r="K689" s="27"/>
      <c r="L689" s="172"/>
      <c r="M689" s="42"/>
      <c r="N689" s="38"/>
      <c r="P689" s="197"/>
      <c r="Q689" s="197"/>
      <c r="R689" s="197"/>
    </row>
    <row r="690" spans="2:18" s="5" customFormat="1">
      <c r="B690"/>
      <c r="C690" s="36"/>
      <c r="D690" s="23"/>
      <c r="E690" s="78"/>
      <c r="G690" s="123"/>
      <c r="H690" s="114"/>
      <c r="I690" s="27"/>
      <c r="J690" s="27"/>
      <c r="K690" s="27"/>
      <c r="L690" s="172"/>
      <c r="M690" s="42"/>
      <c r="N690" s="38"/>
      <c r="P690" s="197"/>
      <c r="Q690" s="197"/>
      <c r="R690" s="197"/>
    </row>
    <row r="691" spans="2:18" s="5" customFormat="1">
      <c r="B691"/>
      <c r="C691" s="36"/>
      <c r="D691" s="23"/>
      <c r="E691" s="78"/>
      <c r="G691" s="123"/>
      <c r="H691" s="114"/>
      <c r="I691" s="27"/>
      <c r="J691" s="27"/>
      <c r="K691" s="27"/>
      <c r="L691" s="172"/>
      <c r="M691" s="42"/>
      <c r="N691" s="38"/>
      <c r="P691" s="197"/>
      <c r="Q691" s="197"/>
      <c r="R691" s="197"/>
    </row>
    <row r="692" spans="2:18" s="5" customFormat="1">
      <c r="B692"/>
      <c r="C692" s="36"/>
      <c r="D692" s="23"/>
      <c r="E692" s="78"/>
      <c r="G692" s="123"/>
      <c r="H692" s="114"/>
      <c r="I692" s="27"/>
      <c r="J692" s="27"/>
      <c r="K692" s="27"/>
      <c r="L692" s="172"/>
      <c r="M692" s="42"/>
      <c r="N692" s="38"/>
      <c r="P692" s="197"/>
      <c r="Q692" s="197"/>
      <c r="R692" s="197"/>
    </row>
    <row r="693" spans="2:18" s="5" customFormat="1">
      <c r="B693"/>
      <c r="C693" s="36"/>
      <c r="D693" s="23"/>
      <c r="E693" s="78"/>
      <c r="G693" s="123"/>
      <c r="H693" s="114"/>
      <c r="I693" s="27"/>
      <c r="J693" s="27"/>
      <c r="K693" s="27"/>
      <c r="L693" s="172"/>
      <c r="M693" s="42"/>
      <c r="N693" s="38"/>
      <c r="P693" s="197"/>
      <c r="Q693" s="197"/>
      <c r="R693" s="197"/>
    </row>
    <row r="694" spans="2:18" s="5" customFormat="1">
      <c r="B694"/>
      <c r="C694" s="36"/>
      <c r="D694" s="23"/>
      <c r="E694" s="78"/>
      <c r="G694" s="123"/>
      <c r="H694" s="114"/>
      <c r="I694" s="27"/>
      <c r="J694" s="27"/>
      <c r="K694" s="27"/>
      <c r="L694" s="172"/>
      <c r="M694" s="42"/>
      <c r="N694" s="38"/>
      <c r="P694" s="197"/>
      <c r="Q694" s="197"/>
      <c r="R694" s="197"/>
    </row>
    <row r="695" spans="2:18" s="5" customFormat="1">
      <c r="B695"/>
      <c r="C695" s="36"/>
      <c r="D695" s="23"/>
      <c r="E695" s="78"/>
      <c r="G695" s="123"/>
      <c r="H695" s="114"/>
      <c r="I695" s="27"/>
      <c r="J695" s="27"/>
      <c r="K695" s="27"/>
      <c r="L695" s="172"/>
      <c r="M695" s="42"/>
      <c r="N695" s="38"/>
      <c r="P695" s="197"/>
      <c r="Q695" s="197"/>
      <c r="R695" s="197"/>
    </row>
    <row r="696" spans="2:18" s="5" customFormat="1">
      <c r="B696"/>
      <c r="C696" s="36"/>
      <c r="D696" s="23"/>
      <c r="E696" s="78"/>
      <c r="G696" s="123"/>
      <c r="H696" s="114"/>
      <c r="I696" s="27"/>
      <c r="J696" s="27"/>
      <c r="K696" s="27"/>
      <c r="L696" s="172"/>
      <c r="M696" s="42"/>
      <c r="N696" s="38"/>
      <c r="P696" s="197"/>
      <c r="Q696" s="197"/>
      <c r="R696" s="197"/>
    </row>
    <row r="697" spans="2:18" s="5" customFormat="1">
      <c r="B697"/>
      <c r="C697" s="36"/>
      <c r="D697" s="23"/>
      <c r="E697" s="78"/>
      <c r="G697" s="123"/>
      <c r="H697" s="114"/>
      <c r="I697" s="27"/>
      <c r="J697" s="27"/>
      <c r="K697" s="27"/>
      <c r="L697" s="172"/>
      <c r="M697" s="42"/>
      <c r="N697" s="38"/>
      <c r="P697" s="197"/>
      <c r="Q697" s="197"/>
      <c r="R697" s="197"/>
    </row>
    <row r="698" spans="2:18" s="5" customFormat="1">
      <c r="B698"/>
      <c r="C698" s="36"/>
      <c r="D698" s="23"/>
      <c r="E698" s="78"/>
      <c r="G698" s="123"/>
      <c r="H698" s="114"/>
      <c r="I698" s="27"/>
      <c r="J698" s="27"/>
      <c r="K698" s="27"/>
      <c r="L698" s="172"/>
      <c r="M698" s="42"/>
      <c r="N698" s="38"/>
      <c r="P698" s="197"/>
      <c r="Q698" s="197"/>
      <c r="R698" s="197"/>
    </row>
    <row r="699" spans="2:18" s="5" customFormat="1">
      <c r="B699"/>
      <c r="C699" s="36"/>
      <c r="D699" s="23"/>
      <c r="E699" s="78"/>
      <c r="G699" s="123"/>
      <c r="H699" s="114"/>
      <c r="I699" s="27"/>
      <c r="J699" s="27"/>
      <c r="K699" s="27"/>
      <c r="L699" s="172"/>
      <c r="M699" s="42"/>
      <c r="N699" s="38"/>
      <c r="P699" s="197"/>
      <c r="Q699" s="197"/>
      <c r="R699" s="197"/>
    </row>
    <row r="700" spans="2:18" s="5" customFormat="1">
      <c r="B700"/>
      <c r="C700" s="36"/>
      <c r="D700" s="23"/>
      <c r="E700" s="78"/>
      <c r="G700" s="123"/>
      <c r="H700" s="114"/>
      <c r="I700" s="27"/>
      <c r="J700" s="27"/>
      <c r="K700" s="27"/>
      <c r="L700" s="172"/>
      <c r="M700" s="42"/>
      <c r="N700" s="38"/>
      <c r="P700" s="197"/>
      <c r="Q700" s="197"/>
      <c r="R700" s="197"/>
    </row>
    <row r="701" spans="2:18" s="5" customFormat="1">
      <c r="B701"/>
      <c r="C701" s="36"/>
      <c r="D701" s="23"/>
      <c r="E701" s="78"/>
      <c r="G701" s="123"/>
      <c r="H701" s="114"/>
      <c r="I701" s="27"/>
      <c r="J701" s="27"/>
      <c r="K701" s="27"/>
      <c r="L701" s="172"/>
      <c r="M701" s="42"/>
      <c r="N701" s="38"/>
      <c r="P701" s="197"/>
      <c r="Q701" s="197"/>
      <c r="R701" s="197"/>
    </row>
    <row r="702" spans="2:18" s="5" customFormat="1">
      <c r="B702"/>
      <c r="C702" s="36"/>
      <c r="D702" s="23"/>
      <c r="E702" s="78"/>
      <c r="G702" s="123"/>
      <c r="H702" s="114"/>
      <c r="I702" s="27"/>
      <c r="J702" s="27"/>
      <c r="K702" s="27"/>
      <c r="L702" s="172"/>
      <c r="M702" s="42"/>
      <c r="N702" s="38"/>
      <c r="P702" s="197"/>
      <c r="Q702" s="197"/>
      <c r="R702" s="197"/>
    </row>
    <row r="703" spans="2:18" s="5" customFormat="1">
      <c r="B703"/>
      <c r="C703" s="36"/>
      <c r="D703" s="23"/>
      <c r="E703" s="78"/>
      <c r="G703" s="123"/>
      <c r="H703" s="114"/>
      <c r="I703" s="27"/>
      <c r="J703" s="27"/>
      <c r="K703" s="27"/>
      <c r="L703" s="172"/>
      <c r="M703" s="42"/>
      <c r="N703" s="38"/>
      <c r="P703" s="197"/>
      <c r="Q703" s="197"/>
      <c r="R703" s="197"/>
    </row>
    <row r="704" spans="2:18" s="5" customFormat="1">
      <c r="B704"/>
      <c r="C704" s="36"/>
      <c r="D704" s="23"/>
      <c r="E704" s="78"/>
      <c r="G704" s="123"/>
      <c r="H704" s="114"/>
      <c r="I704" s="27"/>
      <c r="J704" s="27"/>
      <c r="K704" s="27"/>
      <c r="L704" s="172"/>
      <c r="M704" s="42"/>
      <c r="N704" s="38"/>
      <c r="P704" s="197"/>
      <c r="Q704" s="197"/>
      <c r="R704" s="197"/>
    </row>
    <row r="705" spans="2:18" s="5" customFormat="1">
      <c r="B705"/>
      <c r="C705" s="36"/>
      <c r="D705" s="23"/>
      <c r="E705" s="78"/>
      <c r="G705" s="123"/>
      <c r="H705" s="114"/>
      <c r="I705" s="27"/>
      <c r="J705" s="27"/>
      <c r="K705" s="27"/>
      <c r="L705" s="172"/>
      <c r="M705" s="42"/>
      <c r="N705" s="38"/>
      <c r="P705" s="197"/>
      <c r="Q705" s="197"/>
      <c r="R705" s="197"/>
    </row>
    <row r="706" spans="2:18" s="5" customFormat="1">
      <c r="B706"/>
      <c r="C706" s="36"/>
      <c r="D706" s="23"/>
      <c r="E706" s="78"/>
      <c r="G706" s="123"/>
      <c r="H706" s="114"/>
      <c r="I706" s="27"/>
      <c r="J706" s="27"/>
      <c r="K706" s="27"/>
      <c r="L706" s="172"/>
      <c r="M706" s="42"/>
      <c r="N706" s="38"/>
      <c r="P706" s="197"/>
      <c r="Q706" s="197"/>
      <c r="R706" s="197"/>
    </row>
    <row r="707" spans="2:18" s="5" customFormat="1">
      <c r="B707"/>
      <c r="C707" s="36"/>
      <c r="D707" s="23"/>
      <c r="E707" s="78"/>
      <c r="G707" s="123"/>
      <c r="H707" s="114"/>
      <c r="I707" s="27"/>
      <c r="J707" s="27"/>
      <c r="K707" s="27"/>
      <c r="L707" s="172"/>
      <c r="M707" s="42"/>
      <c r="N707" s="38"/>
      <c r="P707" s="197"/>
      <c r="Q707" s="197"/>
      <c r="R707" s="197"/>
    </row>
    <row r="708" spans="2:18" s="5" customFormat="1">
      <c r="B708"/>
      <c r="C708" s="36"/>
      <c r="D708" s="23"/>
      <c r="E708" s="78"/>
      <c r="G708" s="123"/>
      <c r="H708" s="114"/>
      <c r="I708" s="27"/>
      <c r="J708" s="27"/>
      <c r="K708" s="27"/>
      <c r="L708" s="172"/>
      <c r="M708" s="42"/>
      <c r="N708" s="38"/>
      <c r="P708" s="197"/>
      <c r="Q708" s="197"/>
      <c r="R708" s="197"/>
    </row>
    <row r="709" spans="2:18" s="5" customFormat="1">
      <c r="B709"/>
      <c r="C709" s="36"/>
      <c r="D709" s="23"/>
      <c r="E709" s="78"/>
      <c r="G709" s="123"/>
      <c r="H709" s="114"/>
      <c r="I709" s="27"/>
      <c r="J709" s="27"/>
      <c r="K709" s="27"/>
      <c r="L709" s="172"/>
      <c r="M709" s="42"/>
      <c r="N709" s="38"/>
      <c r="P709" s="197"/>
      <c r="Q709" s="197"/>
      <c r="R709" s="197"/>
    </row>
    <row r="710" spans="2:18" s="5" customFormat="1">
      <c r="B710"/>
      <c r="C710" s="36"/>
      <c r="D710" s="23"/>
      <c r="E710" s="78"/>
      <c r="G710" s="123"/>
      <c r="H710" s="114"/>
      <c r="I710" s="27"/>
      <c r="J710" s="27"/>
      <c r="K710" s="27"/>
      <c r="L710" s="172"/>
      <c r="M710" s="42"/>
      <c r="N710" s="38"/>
      <c r="P710" s="197"/>
      <c r="Q710" s="197"/>
      <c r="R710" s="197"/>
    </row>
    <row r="711" spans="2:18" s="5" customFormat="1">
      <c r="B711"/>
      <c r="C711" s="36"/>
      <c r="D711" s="23"/>
      <c r="E711" s="78"/>
      <c r="G711" s="123"/>
      <c r="H711" s="114"/>
      <c r="I711" s="27"/>
      <c r="J711" s="27"/>
      <c r="K711" s="27"/>
      <c r="L711" s="172"/>
      <c r="M711" s="42"/>
      <c r="N711" s="38"/>
      <c r="P711" s="197"/>
      <c r="Q711" s="197"/>
      <c r="R711" s="197"/>
    </row>
    <row r="712" spans="2:18" s="5" customFormat="1">
      <c r="B712"/>
      <c r="C712" s="36"/>
      <c r="D712" s="23"/>
      <c r="E712" s="78"/>
      <c r="G712" s="123"/>
      <c r="H712" s="114"/>
      <c r="I712" s="27"/>
      <c r="J712" s="27"/>
      <c r="K712" s="27"/>
      <c r="L712" s="172"/>
      <c r="M712" s="42"/>
      <c r="N712" s="38"/>
      <c r="P712" s="197"/>
      <c r="Q712" s="197"/>
      <c r="R712" s="197"/>
    </row>
    <row r="713" spans="2:18" s="5" customFormat="1">
      <c r="B713"/>
      <c r="C713" s="36"/>
      <c r="D713" s="23"/>
      <c r="E713" s="78"/>
      <c r="G713" s="123"/>
      <c r="H713" s="114"/>
      <c r="I713" s="27"/>
      <c r="J713" s="27"/>
      <c r="K713" s="27"/>
      <c r="L713" s="172"/>
      <c r="M713" s="42"/>
      <c r="N713" s="38"/>
      <c r="P713" s="197"/>
      <c r="Q713" s="197"/>
      <c r="R713" s="197"/>
    </row>
    <row r="714" spans="2:18" s="5" customFormat="1">
      <c r="B714"/>
      <c r="C714" s="36"/>
      <c r="D714" s="23"/>
      <c r="E714" s="78"/>
      <c r="G714" s="123"/>
      <c r="H714" s="114"/>
      <c r="I714" s="27"/>
      <c r="J714" s="27"/>
      <c r="K714" s="27"/>
      <c r="L714" s="172"/>
      <c r="M714" s="42"/>
      <c r="N714" s="38"/>
      <c r="P714" s="197"/>
      <c r="Q714" s="197"/>
      <c r="R714" s="197"/>
    </row>
    <row r="715" spans="2:18" s="5" customFormat="1">
      <c r="B715"/>
      <c r="C715" s="36"/>
      <c r="D715" s="23"/>
      <c r="E715" s="78"/>
      <c r="G715" s="123"/>
      <c r="H715" s="114"/>
      <c r="I715" s="27"/>
      <c r="J715" s="27"/>
      <c r="K715" s="27"/>
      <c r="L715" s="172"/>
      <c r="M715" s="42"/>
      <c r="N715" s="38"/>
      <c r="P715" s="197"/>
      <c r="Q715" s="197"/>
      <c r="R715" s="197"/>
    </row>
    <row r="716" spans="2:18" s="5" customFormat="1">
      <c r="B716"/>
      <c r="C716" s="36"/>
      <c r="D716" s="23"/>
      <c r="E716" s="78"/>
      <c r="G716" s="123"/>
      <c r="H716" s="114"/>
      <c r="I716" s="27"/>
      <c r="J716" s="27"/>
      <c r="K716" s="27"/>
      <c r="L716" s="172"/>
      <c r="M716" s="42"/>
      <c r="N716" s="38"/>
      <c r="P716" s="197"/>
      <c r="Q716" s="197"/>
      <c r="R716" s="197"/>
    </row>
    <row r="717" spans="2:18" s="5" customFormat="1">
      <c r="B717"/>
      <c r="C717" s="36"/>
      <c r="D717" s="23"/>
      <c r="E717" s="78"/>
      <c r="G717" s="123"/>
      <c r="H717" s="114"/>
      <c r="I717" s="27"/>
      <c r="J717" s="27"/>
      <c r="K717" s="27"/>
      <c r="L717" s="172"/>
      <c r="M717" s="42"/>
      <c r="N717" s="38"/>
      <c r="P717" s="197"/>
      <c r="Q717" s="197"/>
      <c r="R717" s="197"/>
    </row>
    <row r="718" spans="2:18" s="5" customFormat="1">
      <c r="B718"/>
      <c r="C718" s="36"/>
      <c r="D718" s="23"/>
      <c r="E718" s="78"/>
      <c r="G718" s="123"/>
      <c r="H718" s="114"/>
      <c r="I718" s="27"/>
      <c r="J718" s="27"/>
      <c r="K718" s="27"/>
      <c r="L718" s="172"/>
      <c r="M718" s="42"/>
      <c r="N718" s="38"/>
      <c r="P718" s="197"/>
      <c r="Q718" s="197"/>
      <c r="R718" s="197"/>
    </row>
    <row r="719" spans="2:18" s="5" customFormat="1">
      <c r="B719"/>
      <c r="C719" s="36"/>
      <c r="D719" s="23"/>
      <c r="E719" s="78"/>
      <c r="G719" s="123"/>
      <c r="H719" s="114"/>
      <c r="I719" s="27"/>
      <c r="J719" s="27"/>
      <c r="K719" s="27"/>
      <c r="L719" s="172"/>
      <c r="M719" s="42"/>
      <c r="N719" s="38"/>
      <c r="P719" s="197"/>
      <c r="Q719" s="197"/>
      <c r="R719" s="197"/>
    </row>
    <row r="720" spans="2:18" s="5" customFormat="1">
      <c r="B720"/>
      <c r="C720" s="36"/>
      <c r="D720" s="23"/>
      <c r="E720" s="78"/>
      <c r="G720" s="123"/>
      <c r="H720" s="114"/>
      <c r="I720" s="27"/>
      <c r="J720" s="27"/>
      <c r="K720" s="27"/>
      <c r="L720" s="172"/>
      <c r="M720" s="42"/>
      <c r="N720" s="38"/>
      <c r="P720" s="197"/>
      <c r="Q720" s="197"/>
      <c r="R720" s="197"/>
    </row>
    <row r="721" spans="2:18" s="5" customFormat="1">
      <c r="B721"/>
      <c r="C721" s="36"/>
      <c r="D721" s="23"/>
      <c r="E721" s="78"/>
      <c r="G721" s="123"/>
      <c r="H721" s="114"/>
      <c r="I721" s="27"/>
      <c r="J721" s="27"/>
      <c r="K721" s="27"/>
      <c r="L721" s="172"/>
      <c r="M721" s="42"/>
      <c r="N721" s="38"/>
      <c r="P721" s="197"/>
      <c r="Q721" s="197"/>
      <c r="R721" s="197"/>
    </row>
    <row r="722" spans="2:18" s="5" customFormat="1">
      <c r="B722"/>
      <c r="C722" s="36"/>
      <c r="D722" s="23"/>
      <c r="E722" s="78"/>
      <c r="G722" s="123"/>
      <c r="H722" s="114"/>
      <c r="I722" s="27"/>
      <c r="J722" s="27"/>
      <c r="K722" s="27"/>
      <c r="L722" s="172"/>
      <c r="M722" s="42"/>
      <c r="N722" s="38"/>
      <c r="P722" s="197"/>
      <c r="Q722" s="197"/>
      <c r="R722" s="197"/>
    </row>
    <row r="723" spans="2:18" s="5" customFormat="1">
      <c r="B723"/>
      <c r="C723" s="36"/>
      <c r="D723" s="23"/>
      <c r="E723" s="78"/>
      <c r="G723" s="123"/>
      <c r="H723" s="114"/>
      <c r="I723" s="27"/>
      <c r="J723" s="27"/>
      <c r="K723" s="27"/>
      <c r="L723" s="172"/>
      <c r="M723" s="42"/>
      <c r="N723" s="38"/>
      <c r="P723" s="197"/>
      <c r="Q723" s="197"/>
      <c r="R723" s="197"/>
    </row>
    <row r="724" spans="2:18" s="5" customFormat="1">
      <c r="B724"/>
      <c r="C724" s="36"/>
      <c r="D724" s="23"/>
      <c r="E724" s="78"/>
      <c r="G724" s="123"/>
      <c r="H724" s="114"/>
      <c r="I724" s="27"/>
      <c r="J724" s="27"/>
      <c r="K724" s="27"/>
      <c r="L724" s="172"/>
      <c r="M724" s="42"/>
      <c r="N724" s="38"/>
      <c r="P724" s="197"/>
      <c r="Q724" s="197"/>
      <c r="R724" s="197"/>
    </row>
    <row r="725" spans="2:18" s="5" customFormat="1">
      <c r="B725"/>
      <c r="C725" s="36"/>
      <c r="D725" s="23"/>
      <c r="E725" s="78"/>
      <c r="G725" s="123"/>
      <c r="H725" s="114"/>
      <c r="I725" s="27"/>
      <c r="J725" s="27"/>
      <c r="K725" s="27"/>
      <c r="L725" s="172"/>
      <c r="M725" s="42"/>
      <c r="N725" s="38"/>
      <c r="P725" s="197"/>
      <c r="Q725" s="197"/>
      <c r="R725" s="197"/>
    </row>
    <row r="726" spans="2:18" s="5" customFormat="1">
      <c r="B726"/>
      <c r="C726" s="36"/>
      <c r="D726" s="23"/>
      <c r="E726" s="78"/>
      <c r="G726" s="123"/>
      <c r="H726" s="114"/>
      <c r="I726" s="27"/>
      <c r="J726" s="27"/>
      <c r="K726" s="27"/>
      <c r="L726" s="172"/>
      <c r="M726" s="42"/>
      <c r="N726" s="38"/>
      <c r="P726" s="197"/>
      <c r="Q726" s="197"/>
      <c r="R726" s="197"/>
    </row>
    <row r="727" spans="2:18" s="5" customFormat="1">
      <c r="B727"/>
      <c r="C727" s="36"/>
      <c r="D727" s="23"/>
      <c r="E727" s="78"/>
      <c r="G727" s="123"/>
      <c r="H727" s="114"/>
      <c r="I727" s="27"/>
      <c r="J727" s="27"/>
      <c r="K727" s="27"/>
      <c r="L727" s="172"/>
      <c r="M727" s="42"/>
      <c r="N727" s="38"/>
      <c r="P727" s="197"/>
      <c r="Q727" s="197"/>
      <c r="R727" s="197"/>
    </row>
    <row r="728" spans="2:18" s="5" customFormat="1">
      <c r="B728"/>
      <c r="C728" s="36"/>
      <c r="D728" s="23"/>
      <c r="E728" s="78"/>
      <c r="G728" s="123"/>
      <c r="H728" s="114"/>
      <c r="I728" s="27"/>
      <c r="J728" s="27"/>
      <c r="K728" s="27"/>
      <c r="L728" s="172"/>
      <c r="M728" s="42"/>
      <c r="N728" s="38"/>
      <c r="P728" s="197"/>
      <c r="Q728" s="197"/>
      <c r="R728" s="197"/>
    </row>
    <row r="729" spans="2:18" s="5" customFormat="1">
      <c r="B729"/>
      <c r="C729" s="36"/>
      <c r="D729" s="23"/>
      <c r="E729" s="78"/>
      <c r="G729" s="123"/>
      <c r="H729" s="114"/>
      <c r="I729" s="27"/>
      <c r="J729" s="27"/>
      <c r="K729" s="27"/>
      <c r="L729" s="172"/>
      <c r="M729" s="42"/>
      <c r="N729" s="38"/>
      <c r="P729" s="197"/>
      <c r="Q729" s="197"/>
      <c r="R729" s="197"/>
    </row>
    <row r="730" spans="2:18" s="5" customFormat="1">
      <c r="B730"/>
      <c r="C730" s="36"/>
      <c r="D730" s="23"/>
      <c r="E730" s="78"/>
      <c r="G730" s="123"/>
      <c r="H730" s="114"/>
      <c r="I730" s="27"/>
      <c r="J730" s="27"/>
      <c r="K730" s="27"/>
      <c r="L730" s="172"/>
      <c r="M730" s="42"/>
      <c r="N730" s="38"/>
      <c r="P730" s="197"/>
      <c r="Q730" s="197"/>
      <c r="R730" s="197"/>
    </row>
    <row r="731" spans="2:18" s="5" customFormat="1">
      <c r="B731"/>
      <c r="C731" s="36"/>
      <c r="D731" s="23"/>
      <c r="E731" s="78"/>
      <c r="G731" s="123"/>
      <c r="H731" s="114"/>
      <c r="I731" s="27"/>
      <c r="J731" s="27"/>
      <c r="K731" s="27"/>
      <c r="L731" s="172"/>
      <c r="M731" s="42"/>
      <c r="N731" s="38"/>
      <c r="P731" s="197"/>
      <c r="Q731" s="197"/>
      <c r="R731" s="197"/>
    </row>
    <row r="732" spans="2:18" s="5" customFormat="1">
      <c r="B732"/>
      <c r="C732" s="36"/>
      <c r="D732" s="23"/>
      <c r="E732" s="78"/>
      <c r="G732" s="123"/>
      <c r="H732" s="114"/>
      <c r="I732" s="27"/>
      <c r="J732" s="27"/>
      <c r="K732" s="27"/>
      <c r="L732" s="172"/>
      <c r="M732" s="42"/>
      <c r="N732" s="38"/>
      <c r="P732" s="197"/>
      <c r="Q732" s="197"/>
      <c r="R732" s="197"/>
    </row>
    <row r="733" spans="2:18" s="5" customFormat="1">
      <c r="B733"/>
      <c r="C733" s="36"/>
      <c r="D733" s="23"/>
      <c r="E733" s="78"/>
      <c r="G733" s="123"/>
      <c r="H733" s="114"/>
      <c r="I733" s="27"/>
      <c r="J733" s="27"/>
      <c r="K733" s="27"/>
      <c r="L733" s="172"/>
      <c r="M733" s="42"/>
      <c r="N733" s="38"/>
      <c r="P733" s="197"/>
      <c r="Q733" s="197"/>
      <c r="R733" s="197"/>
    </row>
    <row r="734" spans="2:18" s="5" customFormat="1">
      <c r="B734"/>
      <c r="C734" s="36"/>
      <c r="D734" s="23"/>
      <c r="E734" s="78"/>
      <c r="G734" s="123"/>
      <c r="H734" s="114"/>
      <c r="I734" s="27"/>
      <c r="J734" s="27"/>
      <c r="K734" s="27"/>
      <c r="L734" s="172"/>
      <c r="M734" s="42"/>
      <c r="N734" s="38"/>
      <c r="P734" s="197"/>
      <c r="Q734" s="197"/>
      <c r="R734" s="197"/>
    </row>
  </sheetData>
  <autoFilter ref="B8:P449" xr:uid="{5C6B70D6-9DC9-4021-9235-35B54C52CD91}"/>
  <sortState xmlns:xlrd2="http://schemas.microsoft.com/office/spreadsheetml/2017/richdata2" ref="A212:R219">
    <sortCondition ref="D212:D219"/>
  </sortState>
  <customSheetViews>
    <customSheetView guid="{3E7D2425-DF29-48A5-8E4F-453269C0181F}" scale="90" fitToPage="1" filter="1" showAutoFilter="1">
      <pane ySplit="8" topLeftCell="A9" activePane="bottomLeft" state="frozen"/>
      <selection pane="bottomLeft" activeCell="G397" sqref="G397"/>
      <pageMargins left="0.7" right="0.7" top="0.75" bottom="0.75" header="0.3" footer="0.3"/>
      <pageSetup scale="48" fitToHeight="0" orientation="landscape" r:id="rId1"/>
      <autoFilter ref="B8:P389" xr:uid="{A812ADA6-11A3-49F9-8BF0-DF236D9803B3}">
        <filterColumn colId="0">
          <filters>
            <filter val="12297"/>
          </filters>
        </filterColumn>
      </autoFilter>
    </customSheetView>
    <customSheetView guid="{32DB0659-95CA-464A-A9E5-65C29D151BE4}" scale="90" fitToPage="1" filter="1" showAutoFilter="1" topLeftCell="E1">
      <selection activeCell="O59" sqref="O59"/>
      <pageMargins left="0.7" right="0.7" top="0.75" bottom="0.75" header="0.3" footer="0.3"/>
      <pageSetup scale="48" fitToHeight="0" orientation="landscape" r:id="rId2"/>
      <autoFilter ref="A8:R390" xr:uid="{810EA0B0-6D2C-463F-98E1-58B5E6A066CE}">
        <filterColumn colId="1">
          <filters>
            <filter val="12211"/>
          </filters>
        </filterColumn>
      </autoFilter>
    </customSheetView>
    <customSheetView guid="{06CC192D-486E-4A0B-A9B7-ADD9AC2DD655}" showPageBreaks="1" fitToPage="1" printArea="1" showAutoFilter="1">
      <pane xSplit="1" ySplit="34" topLeftCell="B35" activePane="bottomRight" state="frozen"/>
      <selection pane="bottomRight" activeCell="F21" sqref="F21"/>
      <pageMargins left="0.7" right="0.7" top="0.75" bottom="0.75" header="0.3" footer="0.3"/>
      <pageSetup scale="48" fitToHeight="0" orientation="landscape" r:id="rId3"/>
      <autoFilter ref="B8:N390" xr:uid="{A51092D3-9A58-403A-BC53-C304EB4A8722}"/>
    </customSheetView>
    <customSheetView guid="{49BE8609-8A6F-45AF-B04A-D50C5E8ACCA5}" scale="75" fitToPage="1" filter="1" showAutoFilter="1">
      <pane xSplit="6" ySplit="8" topLeftCell="L220" activePane="bottomRight" state="frozen"/>
      <selection pane="bottomRight" activeCell="N347" sqref="N347"/>
      <pageMargins left="0.7" right="0.7" top="0.75" bottom="0.75" header="0.3" footer="0.3"/>
      <pageSetup scale="48" fitToHeight="0" orientation="landscape" r:id="rId4"/>
      <autoFilter ref="B8:P346" xr:uid="{0829E333-412F-4E04-975F-194C9FB949B7}">
        <filterColumn colId="1">
          <filters>
            <filter val="South Shore"/>
            <filter val="Trumbull"/>
          </filters>
        </filterColumn>
      </autoFilter>
    </customSheetView>
    <customSheetView guid="{2E87D9A1-0A21-4C5A-A792-7570A50008B7}" scale="90" showPageBreaks="1" fitToPage="1" printArea="1" filter="1" showAutoFilter="1">
      <pane xSplit="1" ySplit="8" topLeftCell="B109" activePane="bottomRight" state="frozen"/>
      <selection pane="bottomRight" activeCell="C303" sqref="C303"/>
      <pageMargins left="0.7" right="0.7" top="0.75" bottom="0.75" header="0.3" footer="0.3"/>
      <pageSetup scale="48" fitToHeight="0" orientation="landscape" r:id="rId5"/>
      <autoFilter ref="B8:N295" xr:uid="{2D9772D1-5E7A-4C29-8DF5-8B3DF5E16E03}">
        <filterColumn colId="0">
          <filters>
            <filter val="12297"/>
          </filters>
        </filterColumn>
      </autoFilter>
    </customSheetView>
    <customSheetView guid="{A38639FA-D138-4554-858F-951B7BE56A15}" scale="90" showPageBreaks="1" fitToPage="1" printArea="1" filter="1" showAutoFilter="1">
      <pane xSplit="1" ySplit="216" topLeftCell="B237" activePane="bottomRight" state="frozen"/>
      <selection pane="bottomRight" activeCell="K305" sqref="K305"/>
      <pageMargins left="0.7" right="0.7" top="0.75" bottom="0.75" header="0.3" footer="0.3"/>
      <pageSetup scale="48" fitToHeight="0" orientation="landscape" r:id="rId6"/>
      <autoFilter ref="B8:N295" xr:uid="{123991DA-D425-4260-831E-EE88B2C20E77}">
        <filterColumn colId="1">
          <filters>
            <filter val="Valley Fair"/>
          </filters>
        </filterColumn>
      </autoFilter>
    </customSheetView>
    <customSheetView guid="{529DBED2-7F14-4DC1-BD8C-88C4DA357099}" scale="90" fitToPage="1" showAutoFilter="1">
      <pane ySplit="8" topLeftCell="A282" activePane="bottomLeft" state="frozen"/>
      <selection pane="bottomLeft" activeCell="I296" sqref="I296"/>
      <pageMargins left="0.7" right="0.7" top="0.75" bottom="0.75" header="0.3" footer="0.3"/>
      <pageSetup scale="47" fitToHeight="0" orientation="landscape" r:id="rId7"/>
      <autoFilter ref="A8:O156" xr:uid="{AE79755A-6A4B-4D26-BBD4-AC7C0C5285EF}"/>
    </customSheetView>
    <customSheetView guid="{751C391B-F5E8-4956-8561-2BAF40BC80F0}" scale="70" fitToPage="1" printArea="1" filter="1" showAutoFilter="1">
      <pane ySplit="8" topLeftCell="A9" activePane="bottomLeft" state="frozen"/>
      <selection pane="bottomLeft" activeCell="M303" sqref="M303"/>
      <pageMargins left="0.7" right="0.7" top="0.75" bottom="0.75" header="0.3" footer="0.3"/>
      <pageSetup scale="47" fitToHeight="0" orientation="landscape" r:id="rId8"/>
      <autoFilter ref="A8:O293" xr:uid="{99F93A88-6DBB-4BD9-842D-70C3EE79A414}">
        <filterColumn colId="0">
          <filters>
            <filter val="12279"/>
          </filters>
        </filterColumn>
      </autoFilter>
    </customSheetView>
    <customSheetView guid="{80BED788-9A90-4118-A079-D87F7EB8380A}" scale="80" showPageBreaks="1" fitToPage="1" printArea="1" showAutoFilter="1">
      <pane xSplit="7" ySplit="8" topLeftCell="L9" activePane="bottomRight" state="frozen"/>
      <selection pane="bottomRight" activeCell="M14" sqref="M14"/>
      <pageMargins left="0.25" right="0.25" top="0.75" bottom="0.75" header="0.3" footer="0.3"/>
      <pageSetup scale="53" fitToHeight="0" orientation="landscape" r:id="rId9"/>
      <autoFilter ref="A8:M277" xr:uid="{4C2ADB70-9DEA-4DC2-9992-76251FE41C01}"/>
    </customSheetView>
    <customSheetView guid="{F65C9778-5E6F-4FB6-8315-82D18A725BD9}" scale="90" fitToPage="1" showAutoFilter="1">
      <pane xSplit="7" ySplit="8" topLeftCell="H12" activePane="bottomRight" state="frozen"/>
      <selection pane="bottomRight" activeCell="L31" sqref="L31"/>
      <pageMargins left="0.7" right="0.7" top="0.75" bottom="0.75" header="0.3" footer="0.3"/>
      <pageSetup scale="43" fitToHeight="0" orientation="landscape" r:id="rId10"/>
      <autoFilter ref="A8:M256" xr:uid="{3DC19ABE-2C56-4720-993C-7403472DE236}"/>
    </customSheetView>
    <customSheetView guid="{4B9DF69E-6558-4329-9C41-5127D788913B}" scale="90" fitToPage="1" showAutoFilter="1">
      <pane xSplit="7" ySplit="8" topLeftCell="K9" activePane="bottomRight" state="frozen"/>
      <selection pane="bottomRight" activeCell="F17" sqref="F17"/>
      <pageMargins left="0.7" right="0.7" top="0.75" bottom="0.75" header="0.3" footer="0.3"/>
      <pageSetup scale="43" fitToHeight="0" orientation="landscape" r:id="rId11"/>
      <autoFilter ref="A8:M256" xr:uid="{F1C5CC06-DF9A-4165-A4AD-26E11DB48ACE}"/>
    </customSheetView>
    <customSheetView guid="{CD8809EB-819B-4D2F-9A5A-7AD4415A15C7}" scale="90" showPageBreaks="1" fitToPage="1" printArea="1" showAutoFilter="1">
      <pane xSplit="1" ySplit="100" topLeftCell="B102" activePane="bottomRight" state="frozen"/>
      <selection pane="bottomRight" activeCell="J181" sqref="J181"/>
      <pageMargins left="0.7" right="0.7" top="0.75" bottom="0.75" header="0.3" footer="0.3"/>
      <pageSetup scale="43" fitToHeight="0" orientation="landscape" r:id="rId12"/>
      <autoFilter ref="A8:M256" xr:uid="{8EDF23FC-3575-4F7C-A5AF-8ED5D996A2A9}"/>
    </customSheetView>
    <customSheetView guid="{A3B080AB-09FD-4CB9-A130-A37F1000447B}" scale="85" showPageBreaks="1" fitToPage="1" printArea="1" showAutoFilter="1" view="pageBreakPreview">
      <pane xSplit="1" ySplit="8" topLeftCell="I273" activePane="bottomRight" state="frozen"/>
      <selection pane="bottomRight" activeCell="S294" sqref="S294"/>
      <pageMargins left="0.7" right="0.7" top="0.75" bottom="0.75" header="0.3" footer="0.3"/>
      <pageSetup scale="61" fitToHeight="0" orientation="landscape" r:id="rId13"/>
      <autoFilter ref="A8:W295" xr:uid="{A4B419E9-5379-49E9-AE14-536E2BFBC497}"/>
    </customSheetView>
    <customSheetView guid="{5523E9AF-1EDF-4591-BE32-D74C38E8778A}" scale="85" showPageBreaks="1" fitToPage="1" printArea="1" showAutoFilter="1">
      <pane xSplit="7" ySplit="8" topLeftCell="H242" activePane="bottomRight" state="frozen"/>
      <selection pane="bottomRight" activeCell="F244" sqref="F244"/>
      <pageMargins left="0.7" right="0.7" top="0.75" bottom="0.75" header="0.3" footer="0.3"/>
      <pageSetup scale="43" fitToHeight="0" orientation="landscape" r:id="rId14"/>
      <autoFilter ref="A8:M256" xr:uid="{60DC2957-A249-4420-8EDA-442BC70E3D7F}"/>
    </customSheetView>
    <customSheetView guid="{AEEAA14F-7C57-4E9D-9C54-2498B3917CA3}" scale="90" fitToPage="1" printArea="1" showAutoFilter="1">
      <pane xSplit="1" ySplit="8" topLeftCell="B75" activePane="bottomRight" state="frozen"/>
      <selection pane="bottomRight" activeCell="M89" sqref="M89"/>
      <pageMargins left="0.7" right="0.7" top="0.75" bottom="0.75" header="0.3" footer="0.3"/>
      <pageSetup scale="44" fitToHeight="0" orientation="landscape" r:id="rId15"/>
      <autoFilter ref="A8:M259" xr:uid="{A2201822-703F-4EF2-8E97-4E1F1FB79CCE}"/>
    </customSheetView>
    <customSheetView guid="{3D1397D4-6E14-422B-BF17-85500BB6C48E}" scale="80" showPageBreaks="1" fitToPage="1" printArea="1" showAutoFilter="1" hiddenColumns="1" topLeftCell="B1">
      <pane xSplit="2" ySplit="8" topLeftCell="D251" activePane="bottomRight" state="frozen"/>
      <selection pane="bottomRight" activeCell="E283" sqref="E283"/>
      <pageMargins left="0.7" right="0.7" top="0.75" bottom="0.75" header="0.3" footer="0.3"/>
      <pageSetup scale="48" fitToHeight="0" orientation="landscape" r:id="rId16"/>
      <autoFilter ref="A8:R296" xr:uid="{B66274D6-E09D-4C23-B606-F100C3F34069}"/>
    </customSheetView>
    <customSheetView guid="{87D2D016-5049-4054-85DB-0FB21C149DBE}" fitToPage="1" printArea="1" filter="1" showAutoFilter="1">
      <pane xSplit="6" ySplit="8" topLeftCell="J254" activePane="bottomRight" state="frozen"/>
      <selection pane="bottomRight" activeCell="O260" sqref="O260"/>
      <pageMargins left="0.7" right="0.7" top="0.75" bottom="0.75" header="0.3" footer="0.3"/>
      <pageSetup scale="48" fitToHeight="0" orientation="landscape" r:id="rId17"/>
      <autoFilter ref="B8:P346" xr:uid="{D400B02E-3F84-4D0D-8D60-76A73F72A363}">
        <filterColumn colId="1">
          <filters>
            <filter val="Trumbull"/>
          </filters>
        </filterColumn>
      </autoFilter>
    </customSheetView>
    <customSheetView guid="{DF44DCB1-0A30-4B1A-B2AB-311F6E2FC08A}" scale="90" fitToPage="1" filter="1" showAutoFilter="1">
      <pane ySplit="38" topLeftCell="A40" activePane="bottomLeft" state="frozen"/>
      <selection pane="bottomLeft" activeCell="J350" sqref="J350"/>
      <pageMargins left="0.7" right="0.7" top="0.75" bottom="0.75" header="0.3" footer="0.3"/>
      <pageSetup scale="48" fitToHeight="0" orientation="landscape" r:id="rId18"/>
      <autoFilter ref="B8:P346" xr:uid="{88DB9C0E-1AA7-4CB1-A158-A6C6E516E48E}">
        <filterColumn colId="1">
          <filters>
            <filter val="South Shore"/>
          </filters>
        </filterColumn>
      </autoFilter>
    </customSheetView>
    <customSheetView guid="{DDFEC649-94B4-4AA7-8FA0-4F0C72DB351E}" scale="80" showPageBreaks="1" fitToPage="1" printArea="1" filter="1" showAutoFilter="1">
      <pane xSplit="7" ySplit="363" topLeftCell="H365" activePane="bottomRight" state="frozen"/>
      <selection pane="bottomRight" activeCell="O253" sqref="O253"/>
      <pageMargins left="0.25" right="0.25" top="0.75" bottom="0.75" header="0.3" footer="0.3"/>
      <pageSetup scale="52" fitToHeight="0" orientation="landscape" r:id="rId19"/>
      <autoFilter ref="B8:N364" xr:uid="{1BE3F923-56E5-4DFD-8B65-073AD1123142}">
        <filterColumn colId="1">
          <filters>
            <filter val="Topanga"/>
            <filter val="Village at Topanga"/>
          </filters>
        </filterColumn>
      </autoFilter>
    </customSheetView>
    <customSheetView guid="{B0FD7D71-8FB9-4DAB-9956-8301F0AAA345}" scale="90" showPageBreaks="1" fitToPage="1" printArea="1" filter="1" showAutoFilter="1">
      <selection activeCell="H181" sqref="H181"/>
      <pageMargins left="0.7" right="0.7" top="0.75" bottom="0.75" header="0.3" footer="0.3"/>
      <pageSetup scale="48" fitToHeight="0" orientation="landscape" r:id="rId20"/>
      <autoFilter ref="A8:R390" xr:uid="{0A4C47AA-8387-49D5-B9C5-532648D749D7}">
        <filterColumn colId="1">
          <filters>
            <filter val="12266"/>
          </filters>
        </filterColumn>
      </autoFilter>
    </customSheetView>
    <customSheetView guid="{2D5DCD2C-90EA-4D42-81FC-740192C56039}" scale="70" showPageBreaks="1" fitToPage="1" printArea="1" showAutoFilter="1">
      <pane ySplit="8" topLeftCell="A9" activePane="bottomLeft" state="frozen"/>
      <selection pane="bottomLeft" activeCell="J398" sqref="J398"/>
      <pageMargins left="0.7" right="0.7" top="0.75" bottom="0.75" header="0.3" footer="0.3"/>
      <pageSetup scale="48" fitToHeight="0" orientation="landscape" r:id="rId21"/>
      <autoFilter ref="B8:P389" xr:uid="{592BEB34-CC4C-46E0-B94F-D8ACCBB88DEF}"/>
    </customSheetView>
  </customSheetViews>
  <mergeCells count="3">
    <mergeCell ref="B4:D4"/>
    <mergeCell ref="B5:D5"/>
    <mergeCell ref="B6:D6"/>
  </mergeCells>
  <conditionalFormatting sqref="M4">
    <cfRule type="expression" dxfId="0" priority="103" stopIfTrue="1">
      <formula>ABS($M$4)&gt;0</formula>
    </cfRule>
  </conditionalFormatting>
  <pageMargins left="0.7" right="0.7" top="0.75" bottom="0.75" header="0.3" footer="0.3"/>
  <pageSetup scale="48" fitToHeight="0" orientation="landscape" r:id="rId22"/>
  <customProperties>
    <customPr name="_pios_id" r:id="rId23"/>
    <customPr name="EpmWorksheetKeyString_GUID" r:id="rId24"/>
  </customProperties>
  <drawing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48"/>
  <sheetViews>
    <sheetView zoomScaleNormal="100" workbookViewId="0">
      <selection activeCell="D43" sqref="D43"/>
    </sheetView>
  </sheetViews>
  <sheetFormatPr defaultColWidth="9.140625" defaultRowHeight="12.75"/>
  <cols>
    <col min="1" max="1" width="34" customWidth="1"/>
    <col min="2" max="2" width="28.140625" customWidth="1"/>
    <col min="3" max="3" width="14.5703125" style="110" bestFit="1" customWidth="1"/>
    <col min="4" max="4" width="14" style="109" bestFit="1" customWidth="1"/>
    <col min="5" max="5" width="53.5703125" style="89" customWidth="1"/>
    <col min="6" max="16384" width="9.140625" style="48"/>
  </cols>
  <sheetData>
    <row r="1" spans="1:6" ht="90" customHeight="1">
      <c r="A1" s="91" t="s">
        <v>604</v>
      </c>
      <c r="B1" s="91" t="s">
        <v>2983</v>
      </c>
      <c r="C1" s="163" t="s">
        <v>2515</v>
      </c>
      <c r="D1" s="158" t="s">
        <v>713</v>
      </c>
    </row>
    <row r="2" spans="1:6" ht="12.75" customHeight="1">
      <c r="A2" s="92" t="s">
        <v>1308</v>
      </c>
      <c r="B2" s="94">
        <v>-7835166.4000000004</v>
      </c>
      <c r="C2" s="164">
        <f ca="1">SUMIF('Feb 22'!B:D,LEFT(A2,5),'Feb 22'!M:M)</f>
        <v>-7835166.4000000004</v>
      </c>
      <c r="D2" s="165">
        <f ca="1">B2-C2</f>
        <v>0</v>
      </c>
      <c r="E2" s="103"/>
      <c r="F2"/>
    </row>
    <row r="3" spans="1:6" ht="12.75" customHeight="1">
      <c r="A3" s="95" t="s">
        <v>1085</v>
      </c>
      <c r="B3" s="97">
        <v>-925900</v>
      </c>
      <c r="C3" s="164">
        <f ca="1">SUMIF('Feb 22'!B:D,LEFT(A3,5),'Feb 22'!M:M)</f>
        <v>-925900</v>
      </c>
      <c r="D3" s="165">
        <f ca="1">B3-C3</f>
        <v>0</v>
      </c>
      <c r="E3" s="103"/>
      <c r="F3"/>
    </row>
    <row r="4" spans="1:6" ht="12.75" customHeight="1">
      <c r="A4" s="92" t="s">
        <v>2473</v>
      </c>
      <c r="B4" s="94">
        <v>-270000</v>
      </c>
      <c r="C4" s="164">
        <f ca="1">SUMIF('Feb 22'!B:D,LEFT(A4,5),'Feb 22'!M:M)</f>
        <v>-270000</v>
      </c>
      <c r="D4" s="165">
        <f ca="1">B4-C4</f>
        <v>0</v>
      </c>
      <c r="E4" s="88"/>
      <c r="F4"/>
    </row>
    <row r="5" spans="1:6" ht="12.75" customHeight="1">
      <c r="A5" s="95" t="s">
        <v>2744</v>
      </c>
      <c r="B5" s="97">
        <v>-412906.66</v>
      </c>
      <c r="C5" s="164">
        <f ca="1">SUMIF('Feb 22'!B:D,LEFT(A5,5),'Feb 22'!M:M)</f>
        <v>-412906.66000000003</v>
      </c>
      <c r="D5" s="165">
        <f t="shared" ref="D5:D46" ca="1" si="0">B5-C5</f>
        <v>0</v>
      </c>
      <c r="E5" s="88"/>
      <c r="F5"/>
    </row>
    <row r="6" spans="1:6" ht="12.75" customHeight="1">
      <c r="A6" s="92" t="s">
        <v>2740</v>
      </c>
      <c r="B6" s="94">
        <v>-4890802.26</v>
      </c>
      <c r="C6" s="164">
        <f ca="1">SUMIF('Feb 22'!B:D,LEFT(A6,5),'Feb 22'!M:M)</f>
        <v>-4890802.26</v>
      </c>
      <c r="D6" s="165">
        <f ca="1">B6-C6</f>
        <v>0</v>
      </c>
      <c r="E6" s="88"/>
      <c r="F6"/>
    </row>
    <row r="7" spans="1:6" ht="12.75" customHeight="1">
      <c r="A7" s="95" t="s">
        <v>2011</v>
      </c>
      <c r="B7" s="97">
        <v>-144151.35999999999</v>
      </c>
      <c r="C7" s="164">
        <f ca="1">SUMIF('Feb 22'!B:D,LEFT(A7,5),'Feb 22'!M:M)</f>
        <v>-144151.35999999999</v>
      </c>
      <c r="D7" s="165">
        <f ca="1">B7-C7</f>
        <v>0</v>
      </c>
      <c r="E7" s="88"/>
      <c r="F7"/>
    </row>
    <row r="8" spans="1:6" ht="12.75" customHeight="1">
      <c r="A8" s="92" t="s">
        <v>945</v>
      </c>
      <c r="B8" s="94">
        <v>-1092089.69</v>
      </c>
      <c r="C8" s="164">
        <f ca="1">SUMIF('Feb 22'!B:D,LEFT(A8,5),'Feb 22'!M:M)</f>
        <v>-1092089.69</v>
      </c>
      <c r="D8" s="165">
        <f ca="1">B8-C8</f>
        <v>0</v>
      </c>
      <c r="E8" s="88"/>
      <c r="F8"/>
    </row>
    <row r="9" spans="1:6" ht="12.75" customHeight="1">
      <c r="A9" s="95" t="s">
        <v>949</v>
      </c>
      <c r="B9" s="97">
        <v>-2017373.59</v>
      </c>
      <c r="C9" s="165">
        <f ca="1">SUMIF('Feb 22'!B:D,LEFT(A9,5),'Feb 22'!M:M)</f>
        <v>-2017373.59</v>
      </c>
      <c r="D9" s="165">
        <f ca="1">B9-C9</f>
        <v>0</v>
      </c>
      <c r="E9" s="103"/>
      <c r="F9"/>
    </row>
    <row r="10" spans="1:6" ht="13.5" customHeight="1">
      <c r="A10" s="92" t="s">
        <v>1537</v>
      </c>
      <c r="B10" s="94">
        <v>-2091635.12</v>
      </c>
      <c r="C10" s="164">
        <f ca="1">SUMIF('Feb 22'!B:D,LEFT(A10,5),'Feb 22'!M:M)</f>
        <v>-2091635.12</v>
      </c>
      <c r="D10" s="165">
        <f t="shared" ca="1" si="0"/>
        <v>0</v>
      </c>
      <c r="E10" s="103"/>
      <c r="F10"/>
    </row>
    <row r="11" spans="1:6" ht="12.75" customHeight="1">
      <c r="A11" s="95" t="s">
        <v>720</v>
      </c>
      <c r="B11" s="96">
        <v>29687.5</v>
      </c>
      <c r="C11" s="164">
        <f ca="1">SUMIF('Feb 22'!B:D,LEFT(A11,5),'Feb 22'!M:M)</f>
        <v>29687.5</v>
      </c>
      <c r="D11" s="165">
        <f t="shared" ca="1" si="0"/>
        <v>0</v>
      </c>
      <c r="E11" s="104"/>
      <c r="F11"/>
    </row>
    <row r="12" spans="1:6" ht="12.75" customHeight="1">
      <c r="A12" s="92" t="s">
        <v>721</v>
      </c>
      <c r="B12" s="93">
        <v>237500</v>
      </c>
      <c r="C12" s="164">
        <f ca="1">SUMIF('Feb 22'!B:D,LEFT(A12,5),'Feb 22'!M:M)</f>
        <v>237500</v>
      </c>
      <c r="D12" s="165">
        <f t="shared" ca="1" si="0"/>
        <v>0</v>
      </c>
      <c r="E12" s="88"/>
      <c r="F12"/>
    </row>
    <row r="13" spans="1:6" ht="12.75" customHeight="1">
      <c r="A13" s="95" t="s">
        <v>2745</v>
      </c>
      <c r="B13" s="97">
        <v>-920786.45</v>
      </c>
      <c r="C13" s="164">
        <f ca="1">SUMIF('Feb 22'!B:D,LEFT(A13,5),'Feb 22'!M:M)</f>
        <v>-920786.45000000007</v>
      </c>
      <c r="D13" s="165">
        <f t="shared" ca="1" si="0"/>
        <v>0</v>
      </c>
      <c r="E13" s="88"/>
      <c r="F13"/>
    </row>
    <row r="14" spans="1:6">
      <c r="A14" s="92" t="s">
        <v>1535</v>
      </c>
      <c r="B14" s="94">
        <v>-1293031.67</v>
      </c>
      <c r="C14" s="164">
        <f ca="1">SUMIF('Feb 22'!B:D,LEFT(A14,5),'Feb 22'!M:M)</f>
        <v>-1293031.67</v>
      </c>
      <c r="D14" s="165">
        <f t="shared" ca="1" si="0"/>
        <v>0</v>
      </c>
      <c r="E14" s="88"/>
      <c r="F14"/>
    </row>
    <row r="15" spans="1:6" ht="12.75" customHeight="1">
      <c r="A15" s="95" t="s">
        <v>969</v>
      </c>
      <c r="B15" s="97">
        <v>-130000</v>
      </c>
      <c r="C15" s="164">
        <f ca="1">SUMIF('Feb 22'!B:D,LEFT(A15,5),'Feb 22'!M:M)</f>
        <v>-130000</v>
      </c>
      <c r="D15" s="165">
        <f ca="1">B15-C15</f>
        <v>0</v>
      </c>
      <c r="E15" s="88"/>
      <c r="F15"/>
    </row>
    <row r="16" spans="1:6" ht="12.75" customHeight="1">
      <c r="A16" s="92" t="s">
        <v>981</v>
      </c>
      <c r="B16" s="94">
        <v>-224591.04</v>
      </c>
      <c r="C16" s="164">
        <f ca="1">SUMIF('Feb 22'!B:D,LEFT(A16,5),'Feb 22'!M:M)</f>
        <v>-224591.04</v>
      </c>
      <c r="D16" s="165">
        <f t="shared" ca="1" si="0"/>
        <v>0</v>
      </c>
      <c r="E16" s="88"/>
      <c r="F16"/>
    </row>
    <row r="17" spans="1:6" ht="12.75" customHeight="1">
      <c r="A17" s="95" t="s">
        <v>1536</v>
      </c>
      <c r="B17" s="97">
        <v>-101875.2</v>
      </c>
      <c r="C17" s="164">
        <f ca="1">SUMIF('Feb 22'!B:D,LEFT(A17,5),'Feb 22'!M:M)</f>
        <v>-101875.20000000007</v>
      </c>
      <c r="D17" s="165">
        <f ca="1">B17-C17</f>
        <v>0</v>
      </c>
      <c r="E17" s="88"/>
      <c r="F17"/>
    </row>
    <row r="18" spans="1:6" ht="12.75" customHeight="1">
      <c r="A18" s="92" t="s">
        <v>2466</v>
      </c>
      <c r="B18" s="94">
        <v>-1527150</v>
      </c>
      <c r="C18" s="165">
        <f ca="1">SUMIF('Feb 22'!B:D,LEFT(A18,5),'Feb 22'!M:M)</f>
        <v>-1527150</v>
      </c>
      <c r="D18" s="165">
        <f ca="1">B18-C18</f>
        <v>0</v>
      </c>
      <c r="E18" s="103"/>
      <c r="F18"/>
    </row>
    <row r="19" spans="1:6" ht="12.75" customHeight="1">
      <c r="A19" s="95" t="s">
        <v>2205</v>
      </c>
      <c r="B19" s="97">
        <v>-92993.279999999999</v>
      </c>
      <c r="C19" s="164">
        <f ca="1">SUMIF('Feb 22'!B:D,LEFT(A19,5),'Feb 22'!M:M)</f>
        <v>-92993.279999999999</v>
      </c>
      <c r="D19" s="165">
        <f ca="1">B19-C19</f>
        <v>0</v>
      </c>
      <c r="E19" s="88"/>
      <c r="F19"/>
    </row>
    <row r="20" spans="1:6" ht="12.75" customHeight="1">
      <c r="A20" s="92" t="s">
        <v>1055</v>
      </c>
      <c r="B20" s="94">
        <v>-1227878.24</v>
      </c>
      <c r="C20" s="164">
        <f ca="1">SUMIF('Feb 22'!B:D,LEFT(A20,5),'Feb 22'!M:M)</f>
        <v>-1227878.24</v>
      </c>
      <c r="D20" s="165">
        <f ca="1">B20-C20</f>
        <v>0</v>
      </c>
      <c r="E20" s="88"/>
    </row>
    <row r="21" spans="1:6" ht="12.75" customHeight="1">
      <c r="A21" s="95" t="s">
        <v>2474</v>
      </c>
      <c r="B21" s="97">
        <v>-34326.19</v>
      </c>
      <c r="C21" s="164">
        <f ca="1">SUMIF('Feb 22'!B:D,LEFT(A21,5),'Feb 22'!M:M)</f>
        <v>-34326.189999999988</v>
      </c>
      <c r="D21" s="165">
        <f t="shared" ca="1" si="0"/>
        <v>0</v>
      </c>
      <c r="E21" s="88"/>
    </row>
    <row r="22" spans="1:6" ht="12.75" customHeight="1">
      <c r="A22" s="92" t="s">
        <v>1106</v>
      </c>
      <c r="B22" s="94">
        <v>-359360</v>
      </c>
      <c r="C22" s="164">
        <f ca="1">SUMIF('Feb 22'!B:D,LEFT(A22,5),'Feb 22'!M:M)</f>
        <v>-359360</v>
      </c>
      <c r="D22" s="165">
        <f ca="1">B22-C22</f>
        <v>0</v>
      </c>
      <c r="E22" s="88"/>
    </row>
    <row r="23" spans="1:6" ht="12.75" customHeight="1">
      <c r="A23" s="95" t="s">
        <v>724</v>
      </c>
      <c r="B23" s="97">
        <v>-192203.34</v>
      </c>
      <c r="C23" s="164">
        <f ca="1">SUMIF('Feb 22'!B:D,LEFT(A23,5),'Feb 22'!M:M)</f>
        <v>-192203.33999999997</v>
      </c>
      <c r="D23" s="165">
        <f ca="1">B23-C23</f>
        <v>0</v>
      </c>
      <c r="E23" s="88"/>
    </row>
    <row r="24" spans="1:6" ht="13.5" customHeight="1">
      <c r="A24" s="92" t="s">
        <v>944</v>
      </c>
      <c r="B24" s="94">
        <v>-90000</v>
      </c>
      <c r="C24" s="164">
        <f ca="1">SUMIF('Feb 22'!B:D,LEFT(A24,5),'Feb 22'!M:M)</f>
        <v>-90000</v>
      </c>
      <c r="D24" s="165">
        <f t="shared" ca="1" si="0"/>
        <v>0</v>
      </c>
      <c r="E24" s="103"/>
    </row>
    <row r="25" spans="1:6" ht="12.75" customHeight="1">
      <c r="A25" s="95" t="s">
        <v>718</v>
      </c>
      <c r="B25" s="97">
        <v>-32660</v>
      </c>
      <c r="C25" s="164">
        <f ca="1">SUMIF('Feb 22'!B:D,LEFT(A25,5),'Feb 22'!M:M)</f>
        <v>-32660</v>
      </c>
      <c r="D25" s="165">
        <f t="shared" ca="1" si="0"/>
        <v>0</v>
      </c>
      <c r="E25" s="88"/>
    </row>
    <row r="26" spans="1:6" ht="12.75" customHeight="1">
      <c r="A26" s="92" t="s">
        <v>717</v>
      </c>
      <c r="B26" s="94">
        <v>-524528.16</v>
      </c>
      <c r="C26" s="164">
        <f ca="1">SUMIF('Feb 22'!B:D,LEFT(A26,5),'Feb 22'!M:M)</f>
        <v>-524528.16</v>
      </c>
      <c r="D26" s="165">
        <f ca="1">B26-C26</f>
        <v>0</v>
      </c>
      <c r="E26" s="88"/>
    </row>
    <row r="27" spans="1:6" ht="12.75" customHeight="1">
      <c r="A27" s="95" t="s">
        <v>719</v>
      </c>
      <c r="B27" s="97">
        <v>-243</v>
      </c>
      <c r="C27" s="164">
        <f ca="1">SUMIF('Feb 22'!B:D,LEFT(A27,5),'Feb 22'!M:M)</f>
        <v>-243</v>
      </c>
      <c r="D27" s="165">
        <f t="shared" ca="1" si="0"/>
        <v>0</v>
      </c>
      <c r="E27" s="88"/>
    </row>
    <row r="28" spans="1:6" ht="12.75" customHeight="1">
      <c r="A28" s="92" t="s">
        <v>722</v>
      </c>
      <c r="B28" s="93">
        <v>34352.35</v>
      </c>
      <c r="C28" s="164">
        <f ca="1">SUMIF('Feb 22'!B:D,LEFT(A28,5),'Feb 22'!M:M)</f>
        <v>34352.35</v>
      </c>
      <c r="D28" s="165">
        <f ca="1">B28-C28</f>
        <v>0</v>
      </c>
      <c r="E28" s="88"/>
    </row>
    <row r="29" spans="1:6" ht="12.75" customHeight="1">
      <c r="A29" s="95" t="s">
        <v>935</v>
      </c>
      <c r="B29" s="97">
        <v>-47904</v>
      </c>
      <c r="C29" s="164">
        <f ca="1">SUMIF('Feb 22'!B:D,LEFT(A29,5),'Feb 22'!M:M)</f>
        <v>-47904</v>
      </c>
      <c r="D29" s="165">
        <f ca="1">B29-C29</f>
        <v>0</v>
      </c>
      <c r="E29" s="90"/>
    </row>
    <row r="30" spans="1:6" ht="12.75" customHeight="1">
      <c r="A30" s="92" t="s">
        <v>2739</v>
      </c>
      <c r="B30" s="94">
        <v>-2641853.52</v>
      </c>
      <c r="C30" s="164">
        <f ca="1">SUMIF('Feb 22'!B:D,LEFT(A30,5),'Feb 22'!M:M)</f>
        <v>-2641853.52</v>
      </c>
      <c r="D30" s="165">
        <f ca="1">B30-C30</f>
        <v>0</v>
      </c>
      <c r="E30" s="103"/>
    </row>
    <row r="31" spans="1:6" ht="12.75" customHeight="1">
      <c r="A31" s="95" t="s">
        <v>1309</v>
      </c>
      <c r="B31" s="96">
        <v>123850</v>
      </c>
      <c r="C31" s="164">
        <f ca="1">SUMIF('Feb 22'!B:D,LEFT(A31,5),'Feb 22'!M:M)</f>
        <v>123850</v>
      </c>
      <c r="D31" s="165">
        <f ca="1">B31-C31</f>
        <v>0</v>
      </c>
      <c r="E31" s="88"/>
    </row>
    <row r="32" spans="1:6" ht="12.75" customHeight="1">
      <c r="A32" s="92" t="s">
        <v>2737</v>
      </c>
      <c r="B32" s="94">
        <v>-5669540</v>
      </c>
      <c r="C32" s="164">
        <f ca="1">SUMIF('Feb 22'!B:D,LEFT(A32,5),'Feb 22'!M:M)</f>
        <v>-5669540</v>
      </c>
      <c r="D32" s="165">
        <f t="shared" ca="1" si="0"/>
        <v>0</v>
      </c>
      <c r="E32" s="88"/>
    </row>
    <row r="33" spans="1:5">
      <c r="A33" s="95" t="s">
        <v>971</v>
      </c>
      <c r="B33" s="97">
        <v>-1352668</v>
      </c>
      <c r="C33" s="164">
        <f ca="1">SUMIF('Feb 22'!B:D,LEFT(A33,5),'Feb 22'!M:M)</f>
        <v>-1352668</v>
      </c>
      <c r="D33" s="165">
        <f ca="1">B33-C33</f>
        <v>0</v>
      </c>
      <c r="E33" s="88"/>
    </row>
    <row r="34" spans="1:5" ht="12.75" customHeight="1">
      <c r="A34" s="92" t="s">
        <v>1112</v>
      </c>
      <c r="B34" s="94">
        <v>-499840</v>
      </c>
      <c r="C34" s="164">
        <f ca="1">SUMIF('Feb 22'!B:D,LEFT(A34,5),'Feb 22'!M:M)</f>
        <v>-499840</v>
      </c>
      <c r="D34" s="165">
        <f ca="1">B34-C34</f>
        <v>0</v>
      </c>
      <c r="E34" s="88"/>
    </row>
    <row r="35" spans="1:5" ht="12.75" customHeight="1">
      <c r="A35" s="95" t="s">
        <v>1984</v>
      </c>
      <c r="B35" s="97">
        <v>-2360044.9</v>
      </c>
      <c r="C35" s="164">
        <f ca="1">SUMIF('Feb 22'!B:D,LEFT(A35,5),'Feb 22'!M:M)</f>
        <v>-2360044.9</v>
      </c>
      <c r="D35" s="165">
        <f ca="1">B35-C35</f>
        <v>0</v>
      </c>
      <c r="E35" s="88"/>
    </row>
    <row r="36" spans="1:5" ht="12.75" customHeight="1">
      <c r="A36" s="92" t="s">
        <v>2738</v>
      </c>
      <c r="B36" s="94">
        <v>-4695997.5999999996</v>
      </c>
      <c r="C36" s="164">
        <f ca="1">SUMIF('Feb 22'!B:D,LEFT(A36,5),'Feb 22'!M:M)</f>
        <v>-4695997.5999999996</v>
      </c>
      <c r="D36" s="165">
        <f t="shared" ca="1" si="0"/>
        <v>0</v>
      </c>
      <c r="E36" s="88"/>
    </row>
    <row r="37" spans="1:5" ht="14.25" customHeight="1">
      <c r="A37" s="95" t="s">
        <v>1042</v>
      </c>
      <c r="B37" s="97">
        <v>-86044.43</v>
      </c>
      <c r="C37" s="165">
        <f ca="1">SUMIF('Feb 22'!B:D,LEFT(A37,5),'Feb 22'!M:M)</f>
        <v>-86044.43</v>
      </c>
      <c r="D37" s="165">
        <f t="shared" ca="1" si="0"/>
        <v>0</v>
      </c>
      <c r="E37" s="88"/>
    </row>
    <row r="38" spans="1:5" ht="12.75" customHeight="1">
      <c r="A38" s="92" t="s">
        <v>2746</v>
      </c>
      <c r="B38" s="94">
        <v>-52000</v>
      </c>
      <c r="C38" s="164">
        <f ca="1">SUMIF('Feb 22'!B:D,LEFT(A38,5),'Feb 22'!M:M)</f>
        <v>-52000</v>
      </c>
      <c r="D38" s="165">
        <f ca="1">B38-C38</f>
        <v>0</v>
      </c>
      <c r="E38" s="88"/>
    </row>
    <row r="39" spans="1:5" ht="12.75" customHeight="1">
      <c r="A39" s="95" t="s">
        <v>1075</v>
      </c>
      <c r="B39" s="97">
        <v>-236865.81</v>
      </c>
      <c r="C39" s="164">
        <f ca="1">SUMIF('Feb 22'!B:D,LEFT(A39,5),'Feb 22'!M:M)</f>
        <v>-236865.81</v>
      </c>
      <c r="D39" s="165">
        <f ca="1">B39-C39</f>
        <v>0</v>
      </c>
      <c r="E39" s="6"/>
    </row>
    <row r="40" spans="1:5" ht="12.75" customHeight="1">
      <c r="A40" s="92" t="s">
        <v>725</v>
      </c>
      <c r="B40" s="94">
        <v>-2030740.28</v>
      </c>
      <c r="C40" s="164">
        <f ca="1">SUMIF('Feb 22'!B:D,LEFT(A40,5),'Feb 22'!M:M)</f>
        <v>-2030740.28</v>
      </c>
      <c r="D40" s="165">
        <f ca="1">B40-C40</f>
        <v>0</v>
      </c>
      <c r="E40" s="6"/>
    </row>
    <row r="41" spans="1:5" ht="12.75" customHeight="1">
      <c r="A41" s="95" t="s">
        <v>2204</v>
      </c>
      <c r="B41" s="97">
        <v>-86855</v>
      </c>
      <c r="C41" s="164">
        <f ca="1">SUMIF('Feb 22'!B:D,LEFT(A41,5),'Feb 22'!M:M)</f>
        <v>-86855</v>
      </c>
      <c r="D41" s="165">
        <f ca="1">B41-C41</f>
        <v>0</v>
      </c>
      <c r="E41" s="6"/>
    </row>
    <row r="42" spans="1:5" ht="12.75" customHeight="1">
      <c r="A42" s="92" t="s">
        <v>726</v>
      </c>
      <c r="B42" s="94">
        <v>-479870</v>
      </c>
      <c r="C42" s="164">
        <f ca="1">SUMIF('Feb 22'!B:D,LEFT(A42,5),'Feb 22'!M:M)</f>
        <v>-479870</v>
      </c>
      <c r="D42" s="165">
        <f t="shared" ca="1" si="0"/>
        <v>0</v>
      </c>
      <c r="E42" s="88"/>
    </row>
    <row r="43" spans="1:5" ht="12.75" customHeight="1">
      <c r="A43" s="95" t="s">
        <v>2491</v>
      </c>
      <c r="B43" s="97">
        <v>-2522530.33</v>
      </c>
      <c r="C43" s="164">
        <f ca="1">SUMIF('Feb 22'!B:D,LEFT(A43,5),'Feb 22'!M:M)</f>
        <v>-2522530.33</v>
      </c>
      <c r="D43" s="165">
        <f t="shared" ca="1" si="0"/>
        <v>0</v>
      </c>
      <c r="E43" s="88"/>
    </row>
    <row r="44" spans="1:5" ht="12.75" customHeight="1">
      <c r="A44" s="92" t="s">
        <v>943</v>
      </c>
      <c r="B44" s="94">
        <v>-754812.5</v>
      </c>
      <c r="C44" s="164">
        <f ca="1">SUMIF('Feb 22'!B:D,LEFT(A44,5),'Feb 22'!M:M)</f>
        <v>-754812.5</v>
      </c>
      <c r="D44" s="165">
        <f t="shared" ca="1" si="0"/>
        <v>0</v>
      </c>
      <c r="E44" s="88"/>
    </row>
    <row r="45" spans="1:5">
      <c r="A45" s="95" t="s">
        <v>2012</v>
      </c>
      <c r="B45" s="97">
        <v>-67904</v>
      </c>
      <c r="C45" s="164">
        <f ca="1">SUMIF('Feb 22'!B:D,LEFT(A45,5),'Feb 22'!M:M)</f>
        <v>-67904</v>
      </c>
      <c r="D45" s="165">
        <f t="shared" ca="1" si="0"/>
        <v>0</v>
      </c>
    </row>
    <row r="46" spans="1:5">
      <c r="A46" s="92" t="s">
        <v>2013</v>
      </c>
      <c r="B46" s="94">
        <v>-62570</v>
      </c>
      <c r="C46" s="166">
        <f ca="1">SUMIF('Feb 22'!B:D,LEFT(A46,5),'Feb 22'!M:M)</f>
        <v>-62570</v>
      </c>
      <c r="D46" s="167">
        <f t="shared" ca="1" si="0"/>
        <v>0</v>
      </c>
    </row>
    <row r="47" spans="1:5">
      <c r="A47" s="259" t="s">
        <v>1166</v>
      </c>
      <c r="B47" s="260">
        <v>-15000</v>
      </c>
      <c r="C47" s="166">
        <f ca="1">SUMIF('Feb 22'!B:D,LEFT(A47,5),'Feb 22'!M:M)</f>
        <v>-15000</v>
      </c>
      <c r="D47" s="167">
        <f t="shared" ref="D47:D48" ca="1" si="1">B47-C47</f>
        <v>0</v>
      </c>
    </row>
    <row r="48" spans="1:5">
      <c r="A48" s="102" t="s">
        <v>602</v>
      </c>
      <c r="B48" s="155">
        <v>-49669302.170000002</v>
      </c>
      <c r="C48" s="166">
        <f ca="1">SUM(C2:C47)</f>
        <v>-49669302.170000002</v>
      </c>
      <c r="D48" s="167">
        <f t="shared" ca="1" si="1"/>
        <v>0</v>
      </c>
    </row>
  </sheetData>
  <autoFilter ref="A1:F48" xr:uid="{00000000-0009-0000-0000-000001000000}"/>
  <customSheetViews>
    <customSheetView guid="{3E7D2425-DF29-48A5-8E4F-453269C0181F}" showAutoFilter="1" topLeftCell="A10">
      <selection activeCell="B32" sqref="B32"/>
      <pageMargins left="0.7" right="0.7" top="0.75" bottom="0.75" header="0.3" footer="0.3"/>
      <pageSetup orientation="portrait" r:id="rId1"/>
      <autoFilter ref="A1:F50" xr:uid="{647EC5A9-ED8B-441B-9323-FE1ADA2AB8CD}"/>
    </customSheetView>
    <customSheetView guid="{32DB0659-95CA-464A-A9E5-65C29D151BE4}" showAutoFilter="1" topLeftCell="A31">
      <selection activeCell="D30" sqref="D30"/>
      <pageMargins left="0.7" right="0.7" top="0.75" bottom="0.75" header="0.3" footer="0.3"/>
      <pageSetup orientation="portrait" r:id="rId2"/>
      <autoFilter ref="A1:F50" xr:uid="{A0291FC9-31E2-4975-BF7A-2E710372E63F}"/>
    </customSheetView>
    <customSheetView guid="{06CC192D-486E-4A0B-A9B7-ADD9AC2DD655}" showPageBreaks="1" showAutoFilter="1">
      <selection activeCell="B58" sqref="B58"/>
      <pageMargins left="0.7" right="0.7" top="0.75" bottom="0.75" header="0.3" footer="0.3"/>
      <pageSetup orientation="portrait" r:id="rId3"/>
      <autoFilter ref="A1:F50" xr:uid="{901FD523-B556-4EDE-AF5D-5CB24A77569F}"/>
    </customSheetView>
    <customSheetView guid="{49BE8609-8A6F-45AF-B04A-D50C5E8ACCA5}" showAutoFilter="1" topLeftCell="A13">
      <selection activeCell="D24" sqref="D24"/>
      <pageMargins left="0.7" right="0.7" top="0.75" bottom="0.75" header="0.3" footer="0.3"/>
      <pageSetup orientation="portrait" r:id="rId4"/>
      <autoFilter ref="A1:F47" xr:uid="{2EE58736-6934-4E21-9A27-6F1C2B9267FC}"/>
    </customSheetView>
    <customSheetView guid="{2E87D9A1-0A21-4C5A-A792-7570A50008B7}" showAutoFilter="1" topLeftCell="A26">
      <selection activeCell="E55" sqref="E55"/>
      <pageMargins left="0.7" right="0.7" top="0.75" bottom="0.75" header="0.3" footer="0.3"/>
      <pageSetup orientation="portrait" r:id="rId5"/>
      <autoFilter ref="A1:F50" xr:uid="{74974EC3-CCB4-49DC-BBDD-0F113F02C322}"/>
    </customSheetView>
    <customSheetView guid="{A38639FA-D138-4554-858F-951B7BE56A15}" showAutoFilter="1" topLeftCell="A13">
      <selection activeCell="D42" sqref="D42"/>
      <pageMargins left="0.7" right="0.7" top="0.75" bottom="0.75" header="0.3" footer="0.3"/>
      <pageSetup orientation="portrait" r:id="rId6"/>
      <autoFilter ref="A1:F50" xr:uid="{83B66408-8976-4C79-966F-E3EC82C979E5}"/>
    </customSheetView>
    <customSheetView guid="{529DBED2-7F14-4DC1-BD8C-88C4DA357099}" showAutoFilter="1" topLeftCell="A28">
      <selection activeCell="A37" sqref="A37:XFD37"/>
      <pageMargins left="0.7" right="0.7" top="0.75" bottom="0.75" header="0.3" footer="0.3"/>
      <pageSetup orientation="portrait" r:id="rId7"/>
      <autoFilter ref="A1:F50" xr:uid="{BDAC1998-8061-4F67-8BE7-4DE594F06C53}"/>
    </customSheetView>
    <customSheetView guid="{751C391B-F5E8-4956-8561-2BAF40BC80F0}" showAutoFilter="1">
      <selection activeCell="B49" sqref="B2:B49"/>
      <pageMargins left="0.7" right="0.7" top="0.75" bottom="0.75" header="0.3" footer="0.3"/>
      <pageSetup orientation="portrait" r:id="rId8"/>
      <autoFilter ref="A1:F50" xr:uid="{0A8A6F5D-0467-47C4-BCEA-A575899599BE}"/>
    </customSheetView>
    <customSheetView guid="{80BED788-9A90-4118-A079-D87F7EB8380A}" showAutoFilter="1">
      <selection activeCell="D24" sqref="D24"/>
      <pageMargins left="0.7" right="0.7" top="0.75" bottom="0.75" header="0.3" footer="0.3"/>
      <pageSetup orientation="portrait" r:id="rId9"/>
      <autoFilter ref="A1:F49" xr:uid="{75AB935F-90A9-4447-B6BD-AF2C9F90D1C4}"/>
    </customSheetView>
    <customSheetView guid="{F65C9778-5E6F-4FB6-8315-82D18A725BD9}" showAutoFilter="1">
      <selection activeCell="D24" sqref="D24"/>
      <pageMargins left="0.7" right="0.7" top="0.75" bottom="0.75" header="0.3" footer="0.3"/>
      <pageSetup orientation="portrait" r:id="rId10"/>
      <autoFilter ref="A1:F49" xr:uid="{8E43D9F8-5C27-4477-A940-5E4775FE28F5}"/>
    </customSheetView>
    <customSheetView guid="{4B9DF69E-6558-4329-9C41-5127D788913B}" showAutoFilter="1">
      <selection activeCell="D24" sqref="D24"/>
      <pageMargins left="0.7" right="0.7" top="0.75" bottom="0.75" header="0.3" footer="0.3"/>
      <pageSetup orientation="portrait" r:id="rId11"/>
      <autoFilter ref="A1:F49" xr:uid="{C7ACB946-EC84-4B3D-A1BD-F3E7B6C0F963}"/>
    </customSheetView>
    <customSheetView guid="{CD8809EB-819B-4D2F-9A5A-7AD4415A15C7}" showAutoFilter="1" topLeftCell="A13">
      <selection activeCell="E53" sqref="E53"/>
      <pageMargins left="0.7" right="0.7" top="0.75" bottom="0.75" header="0.3" footer="0.3"/>
      <pageSetup orientation="portrait" r:id="rId12"/>
      <autoFilter ref="A1:F49" xr:uid="{5C58254C-30CD-49C0-83E8-EA626AB61C3D}"/>
    </customSheetView>
    <customSheetView guid="{A3B080AB-09FD-4CB9-A130-A37F1000447B}" scale="85" topLeftCell="A7">
      <selection activeCell="C77" sqref="C77"/>
      <pageMargins left="0.7" right="0.7" top="0.75" bottom="0.75" header="0.3" footer="0.3"/>
    </customSheetView>
    <customSheetView guid="{5523E9AF-1EDF-4591-BE32-D74C38E8778A}" showAutoFilter="1">
      <selection activeCell="B5" sqref="B5"/>
      <pageMargins left="0.7" right="0.7" top="0.75" bottom="0.75" header="0.3" footer="0.3"/>
      <pageSetup orientation="portrait" r:id="rId13"/>
      <autoFilter ref="A1:F49" xr:uid="{57B3BF14-EA7B-44C6-8329-3A7101E7F05D}"/>
    </customSheetView>
    <customSheetView guid="{AEEAA14F-7C57-4E9D-9C54-2498B3917CA3}" showAutoFilter="1">
      <selection activeCell="D4" sqref="D4"/>
      <pageMargins left="0.7" right="0.7" top="0.75" bottom="0.75" header="0.3" footer="0.3"/>
      <pageSetup orientation="portrait" r:id="rId14"/>
      <autoFilter ref="A1:F49" xr:uid="{5F0D3E83-6BB6-4E88-9E38-DD6A59C7C0E2}"/>
    </customSheetView>
    <customSheetView guid="{3D1397D4-6E14-422B-BF17-85500BB6C48E}" showAutoFilter="1" topLeftCell="A7">
      <selection activeCell="B33" sqref="B32:B33"/>
      <pageMargins left="0.7" right="0.7" top="0.75" bottom="0.75" header="0.3" footer="0.3"/>
      <pageSetup orientation="portrait" r:id="rId15"/>
      <autoFilter ref="A1:F50" xr:uid="{F1A30744-728D-4416-90E7-A5D3BC9F1AF2}"/>
    </customSheetView>
    <customSheetView guid="{87D2D016-5049-4054-85DB-0FB21C149DBE}" showAutoFilter="1" topLeftCell="A13">
      <selection activeCell="D24" sqref="D24"/>
      <pageMargins left="0.7" right="0.7" top="0.75" bottom="0.75" header="0.3" footer="0.3"/>
      <pageSetup orientation="portrait" r:id="rId16"/>
      <autoFilter ref="A1:F47" xr:uid="{7DC55745-2AEA-4A93-BE58-246814ED3A63}"/>
    </customSheetView>
    <customSheetView guid="{DF44DCB1-0A30-4B1A-B2AB-311F6E2FC08A}" showAutoFilter="1" topLeftCell="A13">
      <selection activeCell="D24" sqref="D24"/>
      <pageMargins left="0.7" right="0.7" top="0.75" bottom="0.75" header="0.3" footer="0.3"/>
      <pageSetup orientation="portrait" r:id="rId17"/>
      <autoFilter ref="A1:F47" xr:uid="{5D2A91E9-1DA4-4F22-9814-2036AC260782}"/>
    </customSheetView>
    <customSheetView guid="{DDFEC649-94B4-4AA7-8FA0-4F0C72DB351E}" showAutoFilter="1">
      <selection activeCell="D24" sqref="D24"/>
      <pageMargins left="0.7" right="0.7" top="0.75" bottom="0.75" header="0.3" footer="0.3"/>
      <pageSetup orientation="portrait" r:id="rId18"/>
      <autoFilter ref="A1:F49" xr:uid="{643AE432-4279-4489-ADD2-DF2BE002D846}"/>
    </customSheetView>
    <customSheetView guid="{B0FD7D71-8FB9-4DAB-9956-8301F0AAA345}" showAutoFilter="1" topLeftCell="A31">
      <selection activeCell="D30" sqref="D30"/>
      <pageMargins left="0.7" right="0.7" top="0.75" bottom="0.75" header="0.3" footer="0.3"/>
      <pageSetup orientation="portrait" r:id="rId19"/>
      <autoFilter ref="A1:F50" xr:uid="{D03A5A4B-7017-4046-8773-1AD1C9213771}"/>
    </customSheetView>
    <customSheetView guid="{2D5DCD2C-90EA-4D42-81FC-740192C56039}" showAutoFilter="1">
      <selection activeCell="B49" sqref="B2:B49"/>
      <pageMargins left="0.7" right="0.7" top="0.75" bottom="0.75" header="0.3" footer="0.3"/>
      <pageSetup orientation="portrait" r:id="rId20"/>
      <autoFilter ref="A1:F50" xr:uid="{6B749EA3-0724-44DA-8E22-BED6DB5A1A9F}"/>
    </customSheetView>
  </customSheetViews>
  <pageMargins left="0.7" right="0.7" top="0.75" bottom="0.75" header="0.3" footer="0.3"/>
  <pageSetup orientation="portrait" r:id="rId21"/>
  <customProperties>
    <customPr name="_pios_id" r:id="rId22"/>
    <customPr name="EpmWorksheetKeyString_GUID" r:id="rId2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8"/>
  <sheetViews>
    <sheetView zoomScaleNormal="100" workbookViewId="0">
      <selection sqref="A1:XFD1048576"/>
    </sheetView>
  </sheetViews>
  <sheetFormatPr defaultColWidth="9.140625" defaultRowHeight="12.75" customHeight="1"/>
  <cols>
    <col min="1" max="1" width="10.85546875" customWidth="1"/>
    <col min="2" max="2" width="34" customWidth="1"/>
    <col min="3" max="4" width="28.140625" customWidth="1"/>
  </cols>
  <sheetData>
    <row r="1" spans="1:4">
      <c r="A1" s="91"/>
      <c r="B1" s="91"/>
      <c r="C1" s="91"/>
      <c r="D1" s="91"/>
    </row>
    <row r="2" spans="1:4" ht="12.75" customHeight="1">
      <c r="A2" s="92"/>
      <c r="B2" s="92"/>
      <c r="C2" s="93"/>
      <c r="D2" s="94"/>
    </row>
    <row r="3" spans="1:4" ht="12.75" customHeight="1">
      <c r="A3" s="95"/>
      <c r="B3" s="95"/>
      <c r="C3" s="96"/>
      <c r="D3" s="97"/>
    </row>
    <row r="4" spans="1:4" ht="12.75" customHeight="1">
      <c r="A4" s="92"/>
      <c r="B4" s="92"/>
      <c r="C4" s="93"/>
      <c r="D4" s="94"/>
    </row>
    <row r="5" spans="1:4" ht="12.75" customHeight="1">
      <c r="A5" s="95"/>
      <c r="B5" s="95"/>
      <c r="C5" s="96"/>
      <c r="D5" s="97"/>
    </row>
    <row r="6" spans="1:4" ht="12.75" customHeight="1">
      <c r="A6" s="92"/>
      <c r="B6" s="92"/>
      <c r="C6" s="94"/>
      <c r="D6" s="94"/>
    </row>
    <row r="7" spans="1:4" ht="12.75" customHeight="1">
      <c r="A7" s="95"/>
      <c r="B7" s="95"/>
      <c r="C7" s="96"/>
      <c r="D7" s="97"/>
    </row>
    <row r="8" spans="1:4" ht="12.75" customHeight="1">
      <c r="A8" s="92"/>
      <c r="B8" s="92"/>
      <c r="C8" s="93"/>
      <c r="D8" s="94"/>
    </row>
    <row r="9" spans="1:4" ht="12.75" customHeight="1">
      <c r="A9" s="95"/>
      <c r="B9" s="95"/>
      <c r="C9" s="96"/>
      <c r="D9" s="97"/>
    </row>
    <row r="10" spans="1:4" ht="12.75" customHeight="1">
      <c r="A10" s="92"/>
      <c r="B10" s="92"/>
      <c r="C10" s="93"/>
      <c r="D10" s="94"/>
    </row>
    <row r="11" spans="1:4" ht="12.75" customHeight="1">
      <c r="A11" s="95"/>
      <c r="B11" s="95"/>
      <c r="C11" s="96"/>
      <c r="D11" s="96"/>
    </row>
    <row r="12" spans="1:4" ht="12.75" customHeight="1">
      <c r="A12" s="92"/>
      <c r="B12" s="92"/>
      <c r="C12" s="93"/>
      <c r="D12" s="93"/>
    </row>
    <row r="13" spans="1:4" ht="12.75" customHeight="1">
      <c r="A13" s="95"/>
      <c r="B13" s="95"/>
      <c r="C13" s="96"/>
      <c r="D13" s="97"/>
    </row>
    <row r="14" spans="1:4" ht="12.75" customHeight="1">
      <c r="A14" s="92"/>
      <c r="B14" s="92"/>
      <c r="C14" s="93"/>
      <c r="D14" s="94"/>
    </row>
    <row r="15" spans="1:4" ht="12.75" customHeight="1">
      <c r="A15" s="95"/>
      <c r="B15" s="95"/>
      <c r="C15" s="96"/>
      <c r="D15" s="97"/>
    </row>
    <row r="16" spans="1:4" ht="12.75" customHeight="1">
      <c r="A16" s="92"/>
      <c r="B16" s="92"/>
      <c r="C16" s="93"/>
      <c r="D16" s="94"/>
    </row>
    <row r="17" spans="1:4" ht="12.75" customHeight="1">
      <c r="A17" s="95"/>
      <c r="B17" s="95"/>
      <c r="C17" s="96"/>
      <c r="D17" s="97"/>
    </row>
    <row r="18" spans="1:4" ht="12.75" customHeight="1">
      <c r="A18" s="92"/>
      <c r="B18" s="92"/>
      <c r="C18" s="93"/>
      <c r="D18" s="94"/>
    </row>
    <row r="19" spans="1:4" ht="12.75" customHeight="1">
      <c r="A19" s="95"/>
      <c r="B19" s="95"/>
      <c r="C19" s="96"/>
      <c r="D19" s="97"/>
    </row>
    <row r="20" spans="1:4" ht="12.75" customHeight="1">
      <c r="A20" s="92"/>
      <c r="B20" s="92"/>
      <c r="C20" s="93"/>
      <c r="D20" s="94"/>
    </row>
    <row r="21" spans="1:4" ht="12.75" customHeight="1">
      <c r="A21" s="95"/>
      <c r="B21" s="95"/>
      <c r="C21" s="96"/>
      <c r="D21" s="97"/>
    </row>
    <row r="22" spans="1:4" ht="12.75" customHeight="1">
      <c r="A22" s="92"/>
      <c r="B22" s="92"/>
      <c r="C22" s="93"/>
      <c r="D22" s="94"/>
    </row>
    <row r="23" spans="1:4" ht="12.75" customHeight="1">
      <c r="A23" s="95"/>
      <c r="B23" s="95"/>
      <c r="C23" s="96"/>
      <c r="D23" s="97"/>
    </row>
    <row r="24" spans="1:4" ht="12.75" customHeight="1">
      <c r="A24" s="92"/>
      <c r="B24" s="92"/>
      <c r="C24" s="93"/>
      <c r="D24" s="94"/>
    </row>
    <row r="25" spans="1:4" ht="12.75" customHeight="1">
      <c r="A25" s="95"/>
      <c r="B25" s="95"/>
      <c r="C25" s="96"/>
      <c r="D25" s="97"/>
    </row>
    <row r="26" spans="1:4" ht="12.75" customHeight="1">
      <c r="A26" s="92"/>
      <c r="B26" s="92"/>
      <c r="C26" s="93"/>
      <c r="D26" s="94"/>
    </row>
    <row r="27" spans="1:4" ht="12.75" customHeight="1">
      <c r="A27" s="95"/>
      <c r="B27" s="95"/>
      <c r="C27" s="96"/>
      <c r="D27" s="97"/>
    </row>
    <row r="28" spans="1:4" ht="12.75" customHeight="1">
      <c r="A28" s="92"/>
      <c r="B28" s="92"/>
      <c r="C28" s="93"/>
      <c r="D28" s="93"/>
    </row>
    <row r="29" spans="1:4" ht="12.75" customHeight="1">
      <c r="A29" s="95"/>
      <c r="B29" s="95"/>
      <c r="C29" s="96"/>
      <c r="D29" s="97"/>
    </row>
    <row r="30" spans="1:4" ht="12.75" customHeight="1">
      <c r="A30" s="92"/>
      <c r="B30" s="92"/>
      <c r="C30" s="93"/>
      <c r="D30" s="94"/>
    </row>
    <row r="31" spans="1:4" ht="12.75" customHeight="1">
      <c r="A31" s="95"/>
      <c r="B31" s="95"/>
      <c r="C31" s="96"/>
      <c r="D31" s="96"/>
    </row>
    <row r="32" spans="1:4" ht="12.75" customHeight="1">
      <c r="A32" s="92"/>
      <c r="B32" s="92"/>
      <c r="C32" s="93"/>
      <c r="D32" s="94"/>
    </row>
    <row r="33" spans="1:4" ht="12.75" customHeight="1">
      <c r="A33" s="95"/>
      <c r="B33" s="95"/>
      <c r="C33" s="97"/>
      <c r="D33" s="97"/>
    </row>
    <row r="34" spans="1:4" ht="12.75" customHeight="1">
      <c r="A34" s="92"/>
      <c r="B34" s="92"/>
      <c r="C34" s="93"/>
      <c r="D34" s="94"/>
    </row>
    <row r="35" spans="1:4" ht="12.75" customHeight="1">
      <c r="A35" s="95"/>
      <c r="B35" s="95"/>
      <c r="C35" s="96"/>
      <c r="D35" s="97"/>
    </row>
    <row r="36" spans="1:4" ht="12.75" customHeight="1">
      <c r="A36" s="92"/>
      <c r="B36" s="92"/>
      <c r="C36" s="94"/>
      <c r="D36" s="94"/>
    </row>
    <row r="37" spans="1:4" ht="12.75" customHeight="1">
      <c r="A37" s="95"/>
      <c r="B37" s="95"/>
      <c r="C37" s="96"/>
      <c r="D37" s="97"/>
    </row>
    <row r="38" spans="1:4" ht="12.75" customHeight="1">
      <c r="A38" s="92"/>
      <c r="B38" s="92"/>
      <c r="C38" s="94"/>
      <c r="D38" s="94"/>
    </row>
    <row r="39" spans="1:4" ht="12.75" customHeight="1">
      <c r="A39" s="95"/>
      <c r="B39" s="95"/>
      <c r="C39" s="96"/>
      <c r="D39" s="97"/>
    </row>
    <row r="40" spans="1:4" ht="12.75" customHeight="1">
      <c r="A40" s="92"/>
      <c r="B40" s="92"/>
      <c r="C40" s="94"/>
      <c r="D40" s="94"/>
    </row>
    <row r="41" spans="1:4" ht="12.75" customHeight="1">
      <c r="A41" s="95"/>
      <c r="B41" s="95"/>
      <c r="C41" s="96"/>
      <c r="D41" s="97"/>
    </row>
    <row r="42" spans="1:4" ht="12.75" customHeight="1">
      <c r="A42" s="92"/>
      <c r="B42" s="92"/>
      <c r="C42" s="93"/>
      <c r="D42" s="94"/>
    </row>
    <row r="43" spans="1:4" ht="12.75" customHeight="1">
      <c r="A43" s="95"/>
      <c r="B43" s="95"/>
      <c r="C43" s="97"/>
      <c r="D43" s="97"/>
    </row>
    <row r="44" spans="1:4" ht="12.75" customHeight="1">
      <c r="A44" s="92"/>
      <c r="B44" s="92"/>
      <c r="C44" s="94"/>
      <c r="D44" s="94"/>
    </row>
    <row r="45" spans="1:4" ht="12.75" customHeight="1">
      <c r="A45" s="95"/>
      <c r="B45" s="95"/>
      <c r="C45" s="96"/>
      <c r="D45" s="97"/>
    </row>
    <row r="46" spans="1:4" ht="12.75" customHeight="1">
      <c r="A46" s="92"/>
      <c r="B46" s="92"/>
      <c r="C46" s="93"/>
      <c r="D46" s="94"/>
    </row>
    <row r="47" spans="1:4" ht="12.75" customHeight="1">
      <c r="A47" s="259"/>
      <c r="B47" s="259"/>
      <c r="C47" s="187"/>
      <c r="D47" s="260"/>
    </row>
    <row r="48" spans="1:4" ht="12.75" customHeight="1">
      <c r="A48" s="102"/>
      <c r="B48" s="102"/>
      <c r="C48" s="155"/>
      <c r="D48" s="155"/>
    </row>
  </sheetData>
  <customSheetViews>
    <customSheetView guid="{3E7D2425-DF29-48A5-8E4F-453269C0181F}" topLeftCell="A16">
      <selection activeCell="D39" sqref="D39"/>
      <pageMargins left="0.75" right="0.75" top="1" bottom="1" header="0.5" footer="0.5"/>
      <pageSetup orientation="portrait" r:id="rId1"/>
    </customSheetView>
    <customSheetView guid="{32DB0659-95CA-464A-A9E5-65C29D151BE4}" topLeftCell="A34">
      <selection activeCell="D49" sqref="D1:D49"/>
      <pageMargins left="0.75" right="0.75" top="1" bottom="1" header="0.5" footer="0.5"/>
      <pageSetup orientation="portrait" r:id="rId2"/>
    </customSheetView>
    <customSheetView guid="{06CC192D-486E-4A0B-A9B7-ADD9AC2DD655}" showPageBreaks="1">
      <selection activeCell="D49" sqref="D1:D49"/>
      <pageMargins left="0.75" right="0.75" top="1" bottom="1" header="0.5" footer="0.5"/>
      <pageSetup orientation="portrait" r:id="rId3"/>
    </customSheetView>
    <customSheetView guid="{49BE8609-8A6F-45AF-B04A-D50C5E8ACCA5}" topLeftCell="A31">
      <selection sqref="A1:D47"/>
      <pageMargins left="0.75" right="0.75" top="1" bottom="1" header="0.5" footer="0.5"/>
      <pageSetup orientation="portrait" r:id="rId4"/>
    </customSheetView>
    <customSheetView guid="{2E87D9A1-0A21-4C5A-A792-7570A50008B7}" topLeftCell="A37">
      <selection activeCell="F49" sqref="F49"/>
      <pageMargins left="0.75" right="0.75" top="1" bottom="1" header="0.5" footer="0.5"/>
      <pageSetup orientation="portrait" r:id="rId5"/>
    </customSheetView>
    <customSheetView guid="{A38639FA-D138-4554-858F-951B7BE56A15}" topLeftCell="A22">
      <selection activeCell="F49" sqref="F49"/>
      <pageMargins left="0.75" right="0.75" top="1" bottom="1" header="0.5" footer="0.5"/>
      <pageSetup orientation="portrait" r:id="rId6"/>
    </customSheetView>
    <customSheetView guid="{529DBED2-7F14-4DC1-BD8C-88C4DA357099}" topLeftCell="A34">
      <selection activeCell="B47" sqref="B47"/>
      <pageMargins left="0.75" right="0.75" top="1" bottom="1" header="0.5" footer="0.5"/>
      <pageSetup orientation="portrait" r:id="rId7"/>
    </customSheetView>
    <customSheetView guid="{751C391B-F5E8-4956-8561-2BAF40BC80F0}" topLeftCell="A34">
      <selection activeCell="B47" sqref="B47"/>
      <pageMargins left="0.75" right="0.75" top="1" bottom="1" header="0.5" footer="0.5"/>
      <pageSetup orientation="portrait" r:id="rId8"/>
    </customSheetView>
    <customSheetView guid="{80BED788-9A90-4118-A079-D87F7EB8380A}">
      <selection activeCell="C2" sqref="C2"/>
      <pageMargins left="0.75" right="0.75" top="1" bottom="1" header="0.5" footer="0.5"/>
      <pageSetup orientation="portrait" r:id="rId9"/>
    </customSheetView>
    <customSheetView guid="{F65C9778-5E6F-4FB6-8315-82D18A725BD9}">
      <selection activeCell="C2" sqref="C2"/>
      <pageMargins left="0.75" right="0.75" top="1" bottom="1" header="0.5" footer="0.5"/>
      <pageSetup orientation="portrait" r:id="rId10"/>
    </customSheetView>
    <customSheetView guid="{4B9DF69E-6558-4329-9C41-5127D788913B}">
      <selection activeCell="C2" sqref="C2"/>
      <pageMargins left="0.75" right="0.75" top="1" bottom="1" header="0.5" footer="0.5"/>
      <pageSetup orientation="portrait" r:id="rId11"/>
    </customSheetView>
    <customSheetView guid="{CD8809EB-819B-4D2F-9A5A-7AD4415A15C7}">
      <selection activeCell="D49" sqref="D1:D49"/>
      <pageMargins left="0.75" right="0.75" top="1" bottom="1" header="0.5" footer="0.5"/>
      <pageSetup orientation="portrait" r:id="rId12"/>
    </customSheetView>
    <customSheetView guid="{5523E9AF-1EDF-4591-BE32-D74C38E8778A}" topLeftCell="A11">
      <selection activeCell="C2" sqref="C2"/>
      <pageMargins left="0.75" right="0.75" top="1" bottom="1" header="0.5" footer="0.5"/>
      <pageSetup orientation="portrait" r:id="rId13"/>
    </customSheetView>
    <customSheetView guid="{AEEAA14F-7C57-4E9D-9C54-2498B3917CA3}" topLeftCell="A37">
      <selection activeCell="F49" sqref="F49"/>
      <pageMargins left="0.75" right="0.75" top="1" bottom="1" header="0.5" footer="0.5"/>
      <pageSetup orientation="portrait" r:id="rId14"/>
    </customSheetView>
    <customSheetView guid="{3D1397D4-6E14-422B-BF17-85500BB6C48E}" topLeftCell="A21">
      <selection activeCell="C1" sqref="C1:C50"/>
      <pageMargins left="0.75" right="0.75" top="1" bottom="1" header="0.5" footer="0.5"/>
      <pageSetup orientation="portrait" r:id="rId15"/>
    </customSheetView>
    <customSheetView guid="{87D2D016-5049-4054-85DB-0FB21C149DBE}" topLeftCell="A31">
      <selection sqref="A1:D47"/>
      <pageMargins left="0.75" right="0.75" top="1" bottom="1" header="0.5" footer="0.5"/>
      <pageSetup orientation="portrait" r:id="rId16"/>
    </customSheetView>
    <customSheetView guid="{DF44DCB1-0A30-4B1A-B2AB-311F6E2FC08A}" topLeftCell="A31">
      <selection sqref="A1:D47"/>
      <pageMargins left="0.75" right="0.75" top="1" bottom="1" header="0.5" footer="0.5"/>
      <pageSetup orientation="portrait" r:id="rId17"/>
    </customSheetView>
    <customSheetView guid="{DDFEC649-94B4-4AA7-8FA0-4F0C72DB351E}">
      <selection activeCell="C2" sqref="C2"/>
      <pageMargins left="0.75" right="0.75" top="1" bottom="1" header="0.5" footer="0.5"/>
      <pageSetup orientation="portrait" r:id="rId18"/>
    </customSheetView>
    <customSheetView guid="{B0FD7D71-8FB9-4DAB-9956-8301F0AAA345}" topLeftCell="A34">
      <selection activeCell="D49" sqref="D1:D49"/>
      <pageMargins left="0.75" right="0.75" top="1" bottom="1" header="0.5" footer="0.5"/>
      <pageSetup orientation="portrait" r:id="rId19"/>
    </customSheetView>
    <customSheetView guid="{2D5DCD2C-90EA-4D42-81FC-740192C56039}" topLeftCell="A34">
      <selection activeCell="B47" sqref="B47"/>
      <pageMargins left="0.75" right="0.75" top="1" bottom="1" header="0.5" footer="0.5"/>
      <pageSetup orientation="portrait" r:id="rId20"/>
    </customSheetView>
  </customSheetViews>
  <pageMargins left="0.75" right="0.75" top="1" bottom="1" header="0.5" footer="0.5"/>
  <pageSetup orientation="portrait" r:id="rId21"/>
  <customProperties>
    <customPr name="_pios_id" r:id="rId22"/>
    <customPr name="EpmWorksheetKeyString_GUID" r:id="rId23"/>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FA6DC-D181-4D30-9257-F0D258F91694}">
  <sheetPr codeName="Sheet4"/>
  <dimension ref="A1:AF48"/>
  <sheetViews>
    <sheetView topLeftCell="A43" workbookViewId="0">
      <selection activeCell="M36" sqref="M36"/>
    </sheetView>
  </sheetViews>
  <sheetFormatPr defaultColWidth="9.140625" defaultRowHeight="12.75"/>
  <cols>
    <col min="1" max="1" width="10.85546875" customWidth="1"/>
    <col min="4" max="4" width="9.7109375" customWidth="1"/>
    <col min="7" max="7" width="9.140625" style="10"/>
    <col min="8" max="9" width="9.42578125" style="10" customWidth="1"/>
    <col min="10" max="11" width="9.140625" style="10"/>
    <col min="12" max="12" width="13.28515625" customWidth="1"/>
    <col min="14" max="14" width="10" customWidth="1"/>
    <col min="16" max="16" width="10" customWidth="1"/>
    <col min="17" max="17" width="33.5703125" customWidth="1"/>
    <col min="18" max="18" width="51.7109375" customWidth="1"/>
    <col min="19" max="19" width="28.85546875" customWidth="1"/>
    <col min="20" max="20" width="34.42578125" customWidth="1"/>
    <col min="21" max="21" width="39.28515625" customWidth="1"/>
    <col min="22" max="22" width="10.42578125" customWidth="1"/>
    <col min="23" max="24" width="9.5703125" customWidth="1"/>
    <col min="25" max="25" width="10.28515625" customWidth="1"/>
    <col min="26" max="26" width="19.28515625" customWidth="1"/>
    <col min="28" max="28" width="12.85546875" customWidth="1"/>
    <col min="29" max="29" width="10.42578125" customWidth="1"/>
    <col min="30" max="30" width="12.5703125" customWidth="1"/>
    <col min="31" max="31" width="9.85546875" customWidth="1"/>
  </cols>
  <sheetData>
    <row r="1" spans="1:32" ht="21">
      <c r="A1" s="91" t="s">
        <v>746</v>
      </c>
      <c r="B1" s="91" t="s">
        <v>604</v>
      </c>
      <c r="C1" s="91" t="s">
        <v>747</v>
      </c>
      <c r="D1" s="91" t="s">
        <v>608</v>
      </c>
      <c r="E1" s="91" t="s">
        <v>749</v>
      </c>
      <c r="F1" s="91" t="s">
        <v>921</v>
      </c>
      <c r="G1" s="159" t="s">
        <v>748</v>
      </c>
      <c r="H1" s="159" t="s">
        <v>750</v>
      </c>
      <c r="I1" s="159" t="s">
        <v>751</v>
      </c>
      <c r="J1" s="159" t="s">
        <v>752</v>
      </c>
      <c r="K1" s="159" t="s">
        <v>753</v>
      </c>
      <c r="L1" s="91" t="s">
        <v>754</v>
      </c>
      <c r="M1" s="91" t="s">
        <v>767</v>
      </c>
      <c r="N1" s="91" t="s">
        <v>918</v>
      </c>
      <c r="O1" s="91" t="s">
        <v>2</v>
      </c>
      <c r="P1" s="91" t="s">
        <v>755</v>
      </c>
      <c r="Q1" s="91" t="s">
        <v>605</v>
      </c>
      <c r="R1" s="91" t="s">
        <v>756</v>
      </c>
      <c r="S1" s="91" t="s">
        <v>946</v>
      </c>
      <c r="T1" s="91" t="s">
        <v>761</v>
      </c>
      <c r="U1" s="91" t="s">
        <v>760</v>
      </c>
      <c r="V1" s="91" t="s">
        <v>1361</v>
      </c>
      <c r="W1" s="91" t="s">
        <v>757</v>
      </c>
      <c r="X1" s="91" t="s">
        <v>758</v>
      </c>
      <c r="Y1" s="91" t="s">
        <v>759</v>
      </c>
      <c r="Z1" s="91" t="s">
        <v>762</v>
      </c>
      <c r="AA1" s="91" t="s">
        <v>763</v>
      </c>
      <c r="AB1" s="91" t="s">
        <v>764</v>
      </c>
      <c r="AC1" s="91" t="s">
        <v>765</v>
      </c>
      <c r="AD1" s="91" t="s">
        <v>766</v>
      </c>
      <c r="AE1" s="91" t="s">
        <v>919</v>
      </c>
      <c r="AF1" s="91" t="s">
        <v>920</v>
      </c>
    </row>
    <row r="2" spans="1:32" ht="12.75" customHeight="1">
      <c r="A2" s="92" t="s">
        <v>703</v>
      </c>
      <c r="B2" s="92" t="s">
        <v>53</v>
      </c>
      <c r="C2" s="92" t="s">
        <v>922</v>
      </c>
      <c r="D2" s="92"/>
      <c r="E2" s="92" t="s">
        <v>768</v>
      </c>
      <c r="F2" s="92"/>
      <c r="G2" s="156">
        <v>9985405</v>
      </c>
      <c r="H2" s="156">
        <v>1421118</v>
      </c>
      <c r="I2" s="156" t="s">
        <v>769</v>
      </c>
      <c r="J2" s="156">
        <v>1</v>
      </c>
      <c r="K2" s="156">
        <v>22</v>
      </c>
      <c r="L2" s="96">
        <v>55069.41</v>
      </c>
      <c r="M2" s="92" t="s">
        <v>2209</v>
      </c>
      <c r="N2" s="100">
        <v>44543</v>
      </c>
      <c r="O2" s="100">
        <v>44571</v>
      </c>
      <c r="P2" s="100">
        <v>44571</v>
      </c>
      <c r="Q2" s="92" t="s">
        <v>2206</v>
      </c>
      <c r="R2" s="92" t="s">
        <v>2207</v>
      </c>
      <c r="S2" s="92" t="s">
        <v>2850</v>
      </c>
      <c r="T2" s="92" t="s">
        <v>2538</v>
      </c>
      <c r="U2" s="92" t="s">
        <v>2539</v>
      </c>
      <c r="V2" s="92"/>
      <c r="W2" s="92"/>
      <c r="X2" s="92"/>
      <c r="Y2" s="92"/>
      <c r="Z2" s="92" t="s">
        <v>606</v>
      </c>
      <c r="AA2" s="92" t="s">
        <v>770</v>
      </c>
      <c r="AB2" s="92" t="s">
        <v>1236</v>
      </c>
      <c r="AC2" s="92" t="s">
        <v>778</v>
      </c>
      <c r="AD2" s="92" t="s">
        <v>912</v>
      </c>
      <c r="AE2" s="92"/>
      <c r="AF2" s="92"/>
    </row>
    <row r="3" spans="1:32" ht="12.75" customHeight="1">
      <c r="A3" s="92" t="s">
        <v>703</v>
      </c>
      <c r="B3" s="92" t="s">
        <v>53</v>
      </c>
      <c r="C3" s="92" t="s">
        <v>922</v>
      </c>
      <c r="D3" s="92"/>
      <c r="E3" s="92" t="s">
        <v>768</v>
      </c>
      <c r="F3" s="92"/>
      <c r="G3" s="156">
        <v>9991466</v>
      </c>
      <c r="H3" s="156">
        <v>1422726</v>
      </c>
      <c r="I3" s="156" t="s">
        <v>769</v>
      </c>
      <c r="J3" s="156">
        <v>1</v>
      </c>
      <c r="K3" s="156">
        <v>22</v>
      </c>
      <c r="L3" s="96">
        <v>60514.75</v>
      </c>
      <c r="M3" s="92" t="s">
        <v>2209</v>
      </c>
      <c r="N3" s="100">
        <v>44571</v>
      </c>
      <c r="O3" s="100">
        <v>44582</v>
      </c>
      <c r="P3" s="100">
        <v>44582</v>
      </c>
      <c r="Q3" s="92" t="s">
        <v>2206</v>
      </c>
      <c r="R3" s="92" t="s">
        <v>2207</v>
      </c>
      <c r="S3" s="92" t="s">
        <v>2851</v>
      </c>
      <c r="T3" s="92" t="s">
        <v>2538</v>
      </c>
      <c r="U3" s="92" t="s">
        <v>2539</v>
      </c>
      <c r="V3" s="92"/>
      <c r="W3" s="92"/>
      <c r="X3" s="92"/>
      <c r="Y3" s="92"/>
      <c r="Z3" s="92" t="s">
        <v>606</v>
      </c>
      <c r="AA3" s="92" t="s">
        <v>770</v>
      </c>
      <c r="AB3" s="92" t="s">
        <v>1236</v>
      </c>
      <c r="AC3" s="92" t="s">
        <v>778</v>
      </c>
      <c r="AD3" s="92" t="s">
        <v>912</v>
      </c>
      <c r="AE3" s="92"/>
      <c r="AF3" s="92"/>
    </row>
    <row r="4" spans="1:32" ht="12.75" customHeight="1">
      <c r="A4" s="92" t="s">
        <v>703</v>
      </c>
      <c r="B4" s="92" t="s">
        <v>58</v>
      </c>
      <c r="C4" s="92" t="s">
        <v>922</v>
      </c>
      <c r="D4" s="92"/>
      <c r="E4" s="92" t="s">
        <v>49</v>
      </c>
      <c r="F4" s="92" t="s">
        <v>652</v>
      </c>
      <c r="G4" s="156">
        <v>9981614</v>
      </c>
      <c r="H4" s="156">
        <v>1419404</v>
      </c>
      <c r="I4" s="156" t="s">
        <v>853</v>
      </c>
      <c r="J4" s="156">
        <v>1</v>
      </c>
      <c r="K4" s="156">
        <v>22</v>
      </c>
      <c r="L4" s="96">
        <v>-238000</v>
      </c>
      <c r="M4" s="92" t="s">
        <v>2226</v>
      </c>
      <c r="N4" s="100">
        <v>44558</v>
      </c>
      <c r="O4" s="100">
        <v>44562</v>
      </c>
      <c r="P4" s="100">
        <v>44558</v>
      </c>
      <c r="Q4" s="92" t="s">
        <v>2845</v>
      </c>
      <c r="R4" s="92" t="s">
        <v>2846</v>
      </c>
      <c r="S4" s="92"/>
      <c r="T4" s="92">
        <v>0</v>
      </c>
      <c r="U4" s="92" t="s">
        <v>2847</v>
      </c>
      <c r="V4" s="92"/>
      <c r="W4" s="92"/>
      <c r="X4" s="92"/>
      <c r="Y4" s="92"/>
      <c r="Z4" s="92" t="s">
        <v>606</v>
      </c>
      <c r="AA4" s="92" t="s">
        <v>770</v>
      </c>
      <c r="AB4" s="92" t="s">
        <v>2848</v>
      </c>
      <c r="AC4" s="92" t="s">
        <v>1305</v>
      </c>
      <c r="AD4" s="92" t="s">
        <v>929</v>
      </c>
      <c r="AE4" s="92"/>
      <c r="AF4" s="92"/>
    </row>
    <row r="5" spans="1:32" ht="12.75" customHeight="1">
      <c r="A5" s="92" t="s">
        <v>703</v>
      </c>
      <c r="B5" s="92" t="s">
        <v>61</v>
      </c>
      <c r="C5" s="92" t="s">
        <v>922</v>
      </c>
      <c r="D5" s="92"/>
      <c r="E5" s="92" t="s">
        <v>768</v>
      </c>
      <c r="F5" s="92"/>
      <c r="G5" s="156">
        <v>9986759</v>
      </c>
      <c r="H5" s="156">
        <v>1421400</v>
      </c>
      <c r="I5" s="156" t="s">
        <v>769</v>
      </c>
      <c r="J5" s="156">
        <v>1</v>
      </c>
      <c r="K5" s="156">
        <v>22</v>
      </c>
      <c r="L5" s="96">
        <v>30000</v>
      </c>
      <c r="M5" s="92" t="s">
        <v>2852</v>
      </c>
      <c r="N5" s="100">
        <v>44543</v>
      </c>
      <c r="O5" s="100">
        <v>44573</v>
      </c>
      <c r="P5" s="100">
        <v>44573</v>
      </c>
      <c r="Q5" s="92" t="s">
        <v>2853</v>
      </c>
      <c r="R5" s="92" t="s">
        <v>2105</v>
      </c>
      <c r="S5" s="92" t="s">
        <v>2854</v>
      </c>
      <c r="T5" s="92" t="s">
        <v>2855</v>
      </c>
      <c r="U5" s="92" t="s">
        <v>2856</v>
      </c>
      <c r="V5" s="92"/>
      <c r="W5" s="92"/>
      <c r="X5" s="92"/>
      <c r="Y5" s="92"/>
      <c r="Z5" s="92" t="s">
        <v>606</v>
      </c>
      <c r="AA5" s="92" t="s">
        <v>770</v>
      </c>
      <c r="AB5" s="92" t="s">
        <v>1236</v>
      </c>
      <c r="AC5" s="92" t="s">
        <v>778</v>
      </c>
      <c r="AD5" s="92" t="s">
        <v>933</v>
      </c>
      <c r="AE5" s="92"/>
      <c r="AF5" s="92"/>
    </row>
    <row r="6" spans="1:32" ht="12.75" customHeight="1">
      <c r="A6" s="92" t="s">
        <v>703</v>
      </c>
      <c r="B6" s="92" t="s">
        <v>61</v>
      </c>
      <c r="C6" s="92" t="s">
        <v>922</v>
      </c>
      <c r="D6" s="92"/>
      <c r="E6" s="92" t="s">
        <v>775</v>
      </c>
      <c r="F6" s="92"/>
      <c r="G6" s="156">
        <v>9989571</v>
      </c>
      <c r="H6" s="156">
        <v>3926893</v>
      </c>
      <c r="I6" s="156" t="s">
        <v>776</v>
      </c>
      <c r="J6" s="156">
        <v>1</v>
      </c>
      <c r="K6" s="156">
        <v>22</v>
      </c>
      <c r="L6" s="96">
        <v>58000</v>
      </c>
      <c r="M6" s="92"/>
      <c r="N6" s="100">
        <v>44227</v>
      </c>
      <c r="O6" s="100">
        <v>44580</v>
      </c>
      <c r="P6" s="100">
        <v>44580</v>
      </c>
      <c r="Q6" s="92" t="s">
        <v>777</v>
      </c>
      <c r="R6" s="92" t="s">
        <v>2319</v>
      </c>
      <c r="S6" s="92"/>
      <c r="T6" s="92" t="s">
        <v>2546</v>
      </c>
      <c r="U6" s="92" t="s">
        <v>2857</v>
      </c>
      <c r="V6" s="92"/>
      <c r="W6" s="92"/>
      <c r="X6" s="92"/>
      <c r="Y6" s="92"/>
      <c r="Z6" s="92" t="s">
        <v>606</v>
      </c>
      <c r="AA6" s="92" t="s">
        <v>770</v>
      </c>
      <c r="AB6" s="92" t="s">
        <v>778</v>
      </c>
      <c r="AC6" s="92" t="s">
        <v>778</v>
      </c>
      <c r="AD6" s="92" t="s">
        <v>933</v>
      </c>
      <c r="AE6" s="92"/>
      <c r="AF6" s="92"/>
    </row>
    <row r="7" spans="1:32" ht="12.75" customHeight="1">
      <c r="A7" s="92" t="s">
        <v>703</v>
      </c>
      <c r="B7" s="92" t="s">
        <v>61</v>
      </c>
      <c r="C7" s="92" t="s">
        <v>922</v>
      </c>
      <c r="D7" s="92"/>
      <c r="E7" s="92" t="s">
        <v>49</v>
      </c>
      <c r="F7" s="92"/>
      <c r="G7" s="156">
        <v>9991210</v>
      </c>
      <c r="H7" s="156">
        <v>18853478</v>
      </c>
      <c r="I7" s="156" t="s">
        <v>772</v>
      </c>
      <c r="J7" s="156">
        <v>1</v>
      </c>
      <c r="K7" s="156">
        <v>22</v>
      </c>
      <c r="L7" s="96">
        <v>-50000</v>
      </c>
      <c r="M7" s="92" t="s">
        <v>2858</v>
      </c>
      <c r="N7" s="100">
        <v>44592</v>
      </c>
      <c r="O7" s="100">
        <v>44592</v>
      </c>
      <c r="P7" s="100">
        <v>44582</v>
      </c>
      <c r="Q7" s="92" t="s">
        <v>2859</v>
      </c>
      <c r="R7" s="92" t="s">
        <v>2859</v>
      </c>
      <c r="S7" s="92"/>
      <c r="T7" s="92">
        <v>0</v>
      </c>
      <c r="U7" s="92" t="s">
        <v>2860</v>
      </c>
      <c r="V7" s="92"/>
      <c r="W7" s="92"/>
      <c r="X7" s="92" t="s">
        <v>1251</v>
      </c>
      <c r="Y7" s="92"/>
      <c r="Z7" s="92" t="s">
        <v>606</v>
      </c>
      <c r="AA7" s="92" t="s">
        <v>770</v>
      </c>
      <c r="AB7" s="92" t="s">
        <v>1772</v>
      </c>
      <c r="AC7" s="92" t="s">
        <v>778</v>
      </c>
      <c r="AD7" s="92" t="s">
        <v>933</v>
      </c>
      <c r="AE7" s="92"/>
      <c r="AF7" s="92"/>
    </row>
    <row r="8" spans="1:32" ht="12.75" customHeight="1">
      <c r="A8" s="92" t="s">
        <v>703</v>
      </c>
      <c r="B8" s="92" t="s">
        <v>64</v>
      </c>
      <c r="C8" s="92" t="s">
        <v>922</v>
      </c>
      <c r="D8" s="92"/>
      <c r="E8" s="92" t="s">
        <v>775</v>
      </c>
      <c r="F8" s="92"/>
      <c r="G8" s="156">
        <v>9990436</v>
      </c>
      <c r="H8" s="156">
        <v>3927196</v>
      </c>
      <c r="I8" s="156" t="s">
        <v>776</v>
      </c>
      <c r="J8" s="156">
        <v>1</v>
      </c>
      <c r="K8" s="156">
        <v>22</v>
      </c>
      <c r="L8" s="96">
        <v>45000</v>
      </c>
      <c r="M8" s="92"/>
      <c r="N8" s="100">
        <v>44592</v>
      </c>
      <c r="O8" s="100">
        <v>44581</v>
      </c>
      <c r="P8" s="100">
        <v>44581</v>
      </c>
      <c r="Q8" s="92" t="s">
        <v>777</v>
      </c>
      <c r="R8" s="92" t="s">
        <v>1543</v>
      </c>
      <c r="S8" s="92"/>
      <c r="T8" s="92" t="s">
        <v>2019</v>
      </c>
      <c r="U8" s="92" t="s">
        <v>2861</v>
      </c>
      <c r="V8" s="92"/>
      <c r="W8" s="92"/>
      <c r="X8" s="92"/>
      <c r="Y8" s="92"/>
      <c r="Z8" s="92" t="s">
        <v>606</v>
      </c>
      <c r="AA8" s="92" t="s">
        <v>770</v>
      </c>
      <c r="AB8" s="92" t="s">
        <v>778</v>
      </c>
      <c r="AC8" s="92" t="s">
        <v>778</v>
      </c>
      <c r="AD8" s="92" t="s">
        <v>785</v>
      </c>
      <c r="AE8" s="92"/>
      <c r="AF8" s="92"/>
    </row>
    <row r="9" spans="1:32" ht="12.75" customHeight="1">
      <c r="A9" s="92" t="s">
        <v>846</v>
      </c>
      <c r="B9" s="92" t="s">
        <v>47</v>
      </c>
      <c r="C9" s="92" t="s">
        <v>922</v>
      </c>
      <c r="D9" s="92"/>
      <c r="E9" s="92" t="s">
        <v>768</v>
      </c>
      <c r="F9" s="92"/>
      <c r="G9" s="156">
        <v>9986848</v>
      </c>
      <c r="H9" s="156">
        <v>1421488</v>
      </c>
      <c r="I9" s="156" t="s">
        <v>769</v>
      </c>
      <c r="J9" s="156">
        <v>1</v>
      </c>
      <c r="K9" s="156">
        <v>22</v>
      </c>
      <c r="L9" s="96">
        <v>243683.33</v>
      </c>
      <c r="M9" s="92"/>
      <c r="N9" s="100">
        <v>44567</v>
      </c>
      <c r="O9" s="100">
        <v>44573</v>
      </c>
      <c r="P9" s="100">
        <v>44573</v>
      </c>
      <c r="Q9" s="92" t="s">
        <v>2862</v>
      </c>
      <c r="R9" s="92" t="s">
        <v>824</v>
      </c>
      <c r="S9" s="92" t="s">
        <v>2863</v>
      </c>
      <c r="T9" s="92" t="s">
        <v>1151</v>
      </c>
      <c r="U9" s="92" t="s">
        <v>1631</v>
      </c>
      <c r="V9" s="92"/>
      <c r="W9" s="92"/>
      <c r="X9" s="92"/>
      <c r="Y9" s="92"/>
      <c r="Z9" s="92" t="s">
        <v>606</v>
      </c>
      <c r="AA9" s="92" t="s">
        <v>770</v>
      </c>
      <c r="AB9" s="92" t="s">
        <v>1236</v>
      </c>
      <c r="AC9" s="92" t="s">
        <v>778</v>
      </c>
      <c r="AD9" s="92" t="s">
        <v>789</v>
      </c>
      <c r="AE9" s="92"/>
      <c r="AF9" s="92"/>
    </row>
    <row r="10" spans="1:32" ht="12.75" customHeight="1">
      <c r="A10" s="92" t="s">
        <v>846</v>
      </c>
      <c r="B10" s="92" t="s">
        <v>47</v>
      </c>
      <c r="C10" s="92" t="s">
        <v>922</v>
      </c>
      <c r="D10" s="92"/>
      <c r="E10" s="92" t="s">
        <v>49</v>
      </c>
      <c r="F10" s="92"/>
      <c r="G10" s="156">
        <v>9988368</v>
      </c>
      <c r="H10" s="156">
        <v>18852918</v>
      </c>
      <c r="I10" s="156" t="s">
        <v>772</v>
      </c>
      <c r="J10" s="156">
        <v>1</v>
      </c>
      <c r="K10" s="156">
        <v>22</v>
      </c>
      <c r="L10" s="96">
        <v>-20000</v>
      </c>
      <c r="M10" s="92" t="s">
        <v>2864</v>
      </c>
      <c r="N10" s="100">
        <v>44575</v>
      </c>
      <c r="O10" s="100">
        <v>44575</v>
      </c>
      <c r="P10" s="100">
        <v>44575</v>
      </c>
      <c r="Q10" s="92" t="s">
        <v>2865</v>
      </c>
      <c r="R10" s="92" t="s">
        <v>2865</v>
      </c>
      <c r="S10" s="92"/>
      <c r="T10" s="92">
        <v>0</v>
      </c>
      <c r="U10" s="92" t="s">
        <v>2866</v>
      </c>
      <c r="V10" s="92"/>
      <c r="W10" s="92"/>
      <c r="X10" s="92" t="s">
        <v>773</v>
      </c>
      <c r="Y10" s="92"/>
      <c r="Z10" s="92" t="s">
        <v>606</v>
      </c>
      <c r="AA10" s="92" t="s">
        <v>770</v>
      </c>
      <c r="AB10" s="92" t="s">
        <v>1041</v>
      </c>
      <c r="AC10" s="92" t="s">
        <v>778</v>
      </c>
      <c r="AD10" s="92" t="s">
        <v>789</v>
      </c>
      <c r="AE10" s="92"/>
      <c r="AF10" s="92"/>
    </row>
    <row r="11" spans="1:32" ht="12.75" customHeight="1">
      <c r="A11" s="92" t="s">
        <v>846</v>
      </c>
      <c r="B11" s="92" t="s">
        <v>1003</v>
      </c>
      <c r="C11" s="92" t="s">
        <v>922</v>
      </c>
      <c r="D11" s="92"/>
      <c r="E11" s="92" t="s">
        <v>768</v>
      </c>
      <c r="F11" s="92"/>
      <c r="G11" s="156">
        <v>9982569</v>
      </c>
      <c r="H11" s="156">
        <v>1419962</v>
      </c>
      <c r="I11" s="156" t="s">
        <v>769</v>
      </c>
      <c r="J11" s="156">
        <v>1</v>
      </c>
      <c r="K11" s="156">
        <v>22</v>
      </c>
      <c r="L11" s="96">
        <v>439509.95</v>
      </c>
      <c r="M11" s="92" t="s">
        <v>2503</v>
      </c>
      <c r="N11" s="100">
        <v>44489</v>
      </c>
      <c r="O11" s="100">
        <v>44564</v>
      </c>
      <c r="P11" s="100">
        <v>44564</v>
      </c>
      <c r="Q11" s="92" t="s">
        <v>2867</v>
      </c>
      <c r="R11" s="92" t="s">
        <v>2868</v>
      </c>
      <c r="S11" s="92" t="s">
        <v>2869</v>
      </c>
      <c r="T11" s="92" t="s">
        <v>2870</v>
      </c>
      <c r="U11" s="92" t="s">
        <v>2550</v>
      </c>
      <c r="V11" s="92"/>
      <c r="W11" s="92"/>
      <c r="X11" s="92"/>
      <c r="Y11" s="92"/>
      <c r="Z11" s="92" t="s">
        <v>606</v>
      </c>
      <c r="AA11" s="92" t="s">
        <v>770</v>
      </c>
      <c r="AB11" s="92" t="s">
        <v>1236</v>
      </c>
      <c r="AC11" s="92" t="s">
        <v>778</v>
      </c>
      <c r="AD11" s="92" t="s">
        <v>1004</v>
      </c>
      <c r="AE11" s="92"/>
      <c r="AF11" s="92"/>
    </row>
    <row r="12" spans="1:32" ht="12.75" customHeight="1">
      <c r="A12" s="92" t="s">
        <v>846</v>
      </c>
      <c r="B12" s="92" t="s">
        <v>1003</v>
      </c>
      <c r="C12" s="92" t="s">
        <v>922</v>
      </c>
      <c r="D12" s="92"/>
      <c r="E12" s="92" t="s">
        <v>768</v>
      </c>
      <c r="F12" s="92"/>
      <c r="G12" s="156">
        <v>9992755</v>
      </c>
      <c r="H12" s="156">
        <v>1423171</v>
      </c>
      <c r="I12" s="156" t="s">
        <v>769</v>
      </c>
      <c r="J12" s="156">
        <v>1</v>
      </c>
      <c r="K12" s="156">
        <v>22</v>
      </c>
      <c r="L12" s="96">
        <v>25408.959999999999</v>
      </c>
      <c r="M12" s="92" t="s">
        <v>2871</v>
      </c>
      <c r="N12" s="100">
        <v>44581</v>
      </c>
      <c r="O12" s="100">
        <v>44587</v>
      </c>
      <c r="P12" s="100">
        <v>44587</v>
      </c>
      <c r="Q12" s="92" t="s">
        <v>2872</v>
      </c>
      <c r="R12" s="92" t="s">
        <v>644</v>
      </c>
      <c r="S12" s="92" t="s">
        <v>2873</v>
      </c>
      <c r="T12" s="92" t="s">
        <v>2874</v>
      </c>
      <c r="U12" s="92" t="s">
        <v>2875</v>
      </c>
      <c r="V12" s="92"/>
      <c r="W12" s="92"/>
      <c r="X12" s="92"/>
      <c r="Y12" s="92"/>
      <c r="Z12" s="92" t="s">
        <v>606</v>
      </c>
      <c r="AA12" s="92" t="s">
        <v>770</v>
      </c>
      <c r="AB12" s="92" t="s">
        <v>1236</v>
      </c>
      <c r="AC12" s="92" t="s">
        <v>778</v>
      </c>
      <c r="AD12" s="92" t="s">
        <v>1004</v>
      </c>
      <c r="AE12" s="92"/>
      <c r="AF12" s="92"/>
    </row>
    <row r="13" spans="1:32" ht="12.75" customHeight="1">
      <c r="A13" s="92" t="s">
        <v>892</v>
      </c>
      <c r="B13" s="92" t="s">
        <v>50</v>
      </c>
      <c r="C13" s="92" t="s">
        <v>922</v>
      </c>
      <c r="D13" s="92"/>
      <c r="E13" s="92" t="s">
        <v>49</v>
      </c>
      <c r="F13" s="92"/>
      <c r="G13" s="156">
        <v>9983162</v>
      </c>
      <c r="H13" s="156">
        <v>18850693</v>
      </c>
      <c r="I13" s="156" t="s">
        <v>772</v>
      </c>
      <c r="J13" s="156">
        <v>1</v>
      </c>
      <c r="K13" s="156">
        <v>22</v>
      </c>
      <c r="L13" s="96">
        <v>-45000</v>
      </c>
      <c r="M13" s="92" t="s">
        <v>2263</v>
      </c>
      <c r="N13" s="100">
        <v>44562</v>
      </c>
      <c r="O13" s="100">
        <v>44562</v>
      </c>
      <c r="P13" s="100">
        <v>44564</v>
      </c>
      <c r="Q13" s="92" t="s">
        <v>2262</v>
      </c>
      <c r="R13" s="92" t="s">
        <v>2593</v>
      </c>
      <c r="S13" s="92"/>
      <c r="T13" s="92">
        <v>0</v>
      </c>
      <c r="U13" s="92" t="s">
        <v>2876</v>
      </c>
      <c r="V13" s="92"/>
      <c r="W13" s="92"/>
      <c r="X13" s="92" t="s">
        <v>773</v>
      </c>
      <c r="Y13" s="92"/>
      <c r="Z13" s="92" t="s">
        <v>606</v>
      </c>
      <c r="AA13" s="92" t="s">
        <v>770</v>
      </c>
      <c r="AB13" s="92" t="s">
        <v>2254</v>
      </c>
      <c r="AC13" s="92" t="s">
        <v>778</v>
      </c>
      <c r="AD13" s="92" t="s">
        <v>925</v>
      </c>
      <c r="AE13" s="92"/>
      <c r="AF13" s="92"/>
    </row>
    <row r="14" spans="1:32" ht="12.75" customHeight="1">
      <c r="A14" s="92" t="s">
        <v>892</v>
      </c>
      <c r="B14" s="92" t="s">
        <v>50</v>
      </c>
      <c r="C14" s="92" t="s">
        <v>922</v>
      </c>
      <c r="D14" s="92"/>
      <c r="E14" s="92" t="s">
        <v>49</v>
      </c>
      <c r="F14" s="92"/>
      <c r="G14" s="156">
        <v>9983162</v>
      </c>
      <c r="H14" s="156">
        <v>18850693</v>
      </c>
      <c r="I14" s="156" t="s">
        <v>772</v>
      </c>
      <c r="J14" s="156">
        <v>1</v>
      </c>
      <c r="K14" s="156">
        <v>22</v>
      </c>
      <c r="L14" s="96">
        <v>-125100</v>
      </c>
      <c r="M14" s="92" t="s">
        <v>2877</v>
      </c>
      <c r="N14" s="100">
        <v>44562</v>
      </c>
      <c r="O14" s="100">
        <v>44562</v>
      </c>
      <c r="P14" s="100">
        <v>44564</v>
      </c>
      <c r="Q14" s="92" t="s">
        <v>2878</v>
      </c>
      <c r="R14" s="92" t="s">
        <v>2593</v>
      </c>
      <c r="S14" s="92"/>
      <c r="T14" s="92">
        <v>0</v>
      </c>
      <c r="U14" s="92" t="s">
        <v>2879</v>
      </c>
      <c r="V14" s="92"/>
      <c r="W14" s="92"/>
      <c r="X14" s="92" t="s">
        <v>773</v>
      </c>
      <c r="Y14" s="92"/>
      <c r="Z14" s="92" t="s">
        <v>606</v>
      </c>
      <c r="AA14" s="92" t="s">
        <v>770</v>
      </c>
      <c r="AB14" s="92" t="s">
        <v>2254</v>
      </c>
      <c r="AC14" s="92" t="s">
        <v>778</v>
      </c>
      <c r="AD14" s="92" t="s">
        <v>925</v>
      </c>
      <c r="AE14" s="92"/>
      <c r="AF14" s="92"/>
    </row>
    <row r="15" spans="1:32" ht="12.75" customHeight="1">
      <c r="A15" s="92" t="s">
        <v>892</v>
      </c>
      <c r="B15" s="92" t="s">
        <v>50</v>
      </c>
      <c r="C15" s="92" t="s">
        <v>922</v>
      </c>
      <c r="D15" s="92"/>
      <c r="E15" s="92" t="s">
        <v>768</v>
      </c>
      <c r="F15" s="92"/>
      <c r="G15" s="156">
        <v>9985400</v>
      </c>
      <c r="H15" s="156">
        <v>1421113</v>
      </c>
      <c r="I15" s="156" t="s">
        <v>769</v>
      </c>
      <c r="J15" s="156">
        <v>1</v>
      </c>
      <c r="K15" s="156">
        <v>22</v>
      </c>
      <c r="L15" s="96">
        <v>300000</v>
      </c>
      <c r="M15" s="92" t="s">
        <v>2518</v>
      </c>
      <c r="N15" s="100">
        <v>44496</v>
      </c>
      <c r="O15" s="100">
        <v>44571</v>
      </c>
      <c r="P15" s="100">
        <v>44571</v>
      </c>
      <c r="Q15" s="92" t="s">
        <v>2880</v>
      </c>
      <c r="R15" s="92" t="s">
        <v>2881</v>
      </c>
      <c r="S15" s="92" t="s">
        <v>2882</v>
      </c>
      <c r="T15" s="92" t="s">
        <v>2883</v>
      </c>
      <c r="U15" s="92" t="s">
        <v>2694</v>
      </c>
      <c r="V15" s="92"/>
      <c r="W15" s="92"/>
      <c r="X15" s="92"/>
      <c r="Y15" s="92"/>
      <c r="Z15" s="92" t="s">
        <v>606</v>
      </c>
      <c r="AA15" s="92" t="s">
        <v>770</v>
      </c>
      <c r="AB15" s="92" t="s">
        <v>1236</v>
      </c>
      <c r="AC15" s="92" t="s">
        <v>778</v>
      </c>
      <c r="AD15" s="92" t="s">
        <v>925</v>
      </c>
      <c r="AE15" s="92"/>
      <c r="AF15" s="92"/>
    </row>
    <row r="16" spans="1:32" ht="12.75" customHeight="1">
      <c r="A16" s="92" t="s">
        <v>892</v>
      </c>
      <c r="B16" s="92" t="s">
        <v>50</v>
      </c>
      <c r="C16" s="92" t="s">
        <v>922</v>
      </c>
      <c r="D16" s="92"/>
      <c r="E16" s="92" t="s">
        <v>768</v>
      </c>
      <c r="F16" s="92"/>
      <c r="G16" s="156">
        <v>9985402</v>
      </c>
      <c r="H16" s="156">
        <v>1421115</v>
      </c>
      <c r="I16" s="156" t="s">
        <v>769</v>
      </c>
      <c r="J16" s="156">
        <v>1</v>
      </c>
      <c r="K16" s="156">
        <v>22</v>
      </c>
      <c r="L16" s="96">
        <v>500000</v>
      </c>
      <c r="M16" s="92" t="s">
        <v>2263</v>
      </c>
      <c r="N16" s="100">
        <v>44537</v>
      </c>
      <c r="O16" s="100">
        <v>44571</v>
      </c>
      <c r="P16" s="100">
        <v>44571</v>
      </c>
      <c r="Q16" s="92" t="s">
        <v>2884</v>
      </c>
      <c r="R16" s="92" t="s">
        <v>2885</v>
      </c>
      <c r="S16" s="92" t="s">
        <v>2886</v>
      </c>
      <c r="T16" s="92" t="s">
        <v>2887</v>
      </c>
      <c r="U16" s="92" t="s">
        <v>2876</v>
      </c>
      <c r="V16" s="92"/>
      <c r="W16" s="92"/>
      <c r="X16" s="92"/>
      <c r="Y16" s="92"/>
      <c r="Z16" s="92" t="s">
        <v>606</v>
      </c>
      <c r="AA16" s="92" t="s">
        <v>770</v>
      </c>
      <c r="AB16" s="92" t="s">
        <v>1236</v>
      </c>
      <c r="AC16" s="92" t="s">
        <v>778</v>
      </c>
      <c r="AD16" s="92" t="s">
        <v>925</v>
      </c>
      <c r="AE16" s="92"/>
      <c r="AF16" s="92"/>
    </row>
    <row r="17" spans="1:32" ht="12.75" customHeight="1">
      <c r="A17" s="92" t="s">
        <v>892</v>
      </c>
      <c r="B17" s="92" t="s">
        <v>50</v>
      </c>
      <c r="C17" s="92" t="s">
        <v>922</v>
      </c>
      <c r="D17" s="92"/>
      <c r="E17" s="92" t="s">
        <v>768</v>
      </c>
      <c r="F17" s="92"/>
      <c r="G17" s="156">
        <v>9985404</v>
      </c>
      <c r="H17" s="156">
        <v>1421117</v>
      </c>
      <c r="I17" s="156" t="s">
        <v>769</v>
      </c>
      <c r="J17" s="156">
        <v>1</v>
      </c>
      <c r="K17" s="156">
        <v>22</v>
      </c>
      <c r="L17" s="96">
        <v>65000</v>
      </c>
      <c r="M17" s="92" t="s">
        <v>2261</v>
      </c>
      <c r="N17" s="100">
        <v>44538</v>
      </c>
      <c r="O17" s="100">
        <v>44571</v>
      </c>
      <c r="P17" s="100">
        <v>44571</v>
      </c>
      <c r="Q17" s="92" t="s">
        <v>2888</v>
      </c>
      <c r="R17" s="92" t="s">
        <v>2314</v>
      </c>
      <c r="S17" s="92" t="s">
        <v>2889</v>
      </c>
      <c r="T17" s="92" t="s">
        <v>2890</v>
      </c>
      <c r="U17" s="92" t="s">
        <v>2891</v>
      </c>
      <c r="V17" s="92"/>
      <c r="W17" s="92"/>
      <c r="X17" s="92"/>
      <c r="Y17" s="92"/>
      <c r="Z17" s="92" t="s">
        <v>606</v>
      </c>
      <c r="AA17" s="92" t="s">
        <v>770</v>
      </c>
      <c r="AB17" s="92" t="s">
        <v>1236</v>
      </c>
      <c r="AC17" s="92" t="s">
        <v>778</v>
      </c>
      <c r="AD17" s="92" t="s">
        <v>925</v>
      </c>
      <c r="AE17" s="92"/>
      <c r="AF17" s="92"/>
    </row>
    <row r="18" spans="1:32" ht="12.75" customHeight="1">
      <c r="A18" s="92" t="s">
        <v>892</v>
      </c>
      <c r="B18" s="92" t="s">
        <v>50</v>
      </c>
      <c r="C18" s="92" t="s">
        <v>922</v>
      </c>
      <c r="D18" s="92"/>
      <c r="E18" s="92" t="s">
        <v>768</v>
      </c>
      <c r="F18" s="92"/>
      <c r="G18" s="156">
        <v>9988555</v>
      </c>
      <c r="H18" s="156">
        <v>1421990</v>
      </c>
      <c r="I18" s="156" t="s">
        <v>769</v>
      </c>
      <c r="J18" s="156">
        <v>1</v>
      </c>
      <c r="K18" s="156">
        <v>22</v>
      </c>
      <c r="L18" s="96">
        <v>280000</v>
      </c>
      <c r="M18" s="92" t="s">
        <v>2892</v>
      </c>
      <c r="N18" s="100">
        <v>44571</v>
      </c>
      <c r="O18" s="100">
        <v>44575</v>
      </c>
      <c r="P18" s="100">
        <v>44575</v>
      </c>
      <c r="Q18" s="92" t="s">
        <v>2893</v>
      </c>
      <c r="R18" s="92" t="s">
        <v>2894</v>
      </c>
      <c r="S18" s="92" t="s">
        <v>2895</v>
      </c>
      <c r="T18" s="92" t="s">
        <v>2896</v>
      </c>
      <c r="U18" s="92" t="s">
        <v>2897</v>
      </c>
      <c r="V18" s="92"/>
      <c r="W18" s="92"/>
      <c r="X18" s="92"/>
      <c r="Y18" s="92"/>
      <c r="Z18" s="92" t="s">
        <v>606</v>
      </c>
      <c r="AA18" s="92" t="s">
        <v>770</v>
      </c>
      <c r="AB18" s="92" t="s">
        <v>1236</v>
      </c>
      <c r="AC18" s="92" t="s">
        <v>778</v>
      </c>
      <c r="AD18" s="92" t="s">
        <v>925</v>
      </c>
      <c r="AE18" s="92"/>
      <c r="AF18" s="92"/>
    </row>
    <row r="19" spans="1:32" ht="12.75" customHeight="1">
      <c r="A19" s="92" t="s">
        <v>892</v>
      </c>
      <c r="B19" s="92" t="s">
        <v>50</v>
      </c>
      <c r="C19" s="92" t="s">
        <v>922</v>
      </c>
      <c r="D19" s="92"/>
      <c r="E19" s="92" t="s">
        <v>768</v>
      </c>
      <c r="F19" s="92"/>
      <c r="G19" s="156">
        <v>9991585</v>
      </c>
      <c r="H19" s="156">
        <v>1422843</v>
      </c>
      <c r="I19" s="156" t="s">
        <v>769</v>
      </c>
      <c r="J19" s="156">
        <v>1</v>
      </c>
      <c r="K19" s="156">
        <v>22</v>
      </c>
      <c r="L19" s="96">
        <v>5000</v>
      </c>
      <c r="M19" s="92" t="s">
        <v>2493</v>
      </c>
      <c r="N19" s="100">
        <v>44533</v>
      </c>
      <c r="O19" s="100">
        <v>44582</v>
      </c>
      <c r="P19" s="100">
        <v>44582</v>
      </c>
      <c r="Q19" s="92" t="s">
        <v>2898</v>
      </c>
      <c r="R19" s="92" t="s">
        <v>2825</v>
      </c>
      <c r="S19" s="92" t="s">
        <v>2899</v>
      </c>
      <c r="T19" s="92" t="s">
        <v>2900</v>
      </c>
      <c r="U19" s="92" t="s">
        <v>2596</v>
      </c>
      <c r="V19" s="92"/>
      <c r="W19" s="92"/>
      <c r="X19" s="92"/>
      <c r="Y19" s="92"/>
      <c r="Z19" s="92" t="s">
        <v>606</v>
      </c>
      <c r="AA19" s="92" t="s">
        <v>770</v>
      </c>
      <c r="AB19" s="92" t="s">
        <v>1236</v>
      </c>
      <c r="AC19" s="92" t="s">
        <v>778</v>
      </c>
      <c r="AD19" s="92" t="s">
        <v>925</v>
      </c>
      <c r="AE19" s="92"/>
      <c r="AF19" s="92"/>
    </row>
    <row r="20" spans="1:32" ht="12.75" customHeight="1">
      <c r="A20" s="92" t="s">
        <v>892</v>
      </c>
      <c r="B20" s="92" t="s">
        <v>50</v>
      </c>
      <c r="C20" s="92" t="s">
        <v>922</v>
      </c>
      <c r="D20" s="92"/>
      <c r="E20" s="92" t="s">
        <v>768</v>
      </c>
      <c r="F20" s="92"/>
      <c r="G20" s="156">
        <v>9991612</v>
      </c>
      <c r="H20" s="156">
        <v>1422870</v>
      </c>
      <c r="I20" s="156" t="s">
        <v>769</v>
      </c>
      <c r="J20" s="156">
        <v>1</v>
      </c>
      <c r="K20" s="156">
        <v>22</v>
      </c>
      <c r="L20" s="96">
        <v>60000</v>
      </c>
      <c r="M20" s="92" t="s">
        <v>2516</v>
      </c>
      <c r="N20" s="100">
        <v>44581</v>
      </c>
      <c r="O20" s="100">
        <v>44582</v>
      </c>
      <c r="P20" s="100">
        <v>44582</v>
      </c>
      <c r="Q20" s="92" t="s">
        <v>2901</v>
      </c>
      <c r="R20" s="92" t="s">
        <v>2902</v>
      </c>
      <c r="S20" s="92" t="s">
        <v>2903</v>
      </c>
      <c r="T20" s="92" t="s">
        <v>2904</v>
      </c>
      <c r="U20" s="92" t="s">
        <v>2689</v>
      </c>
      <c r="V20" s="92"/>
      <c r="W20" s="92"/>
      <c r="X20" s="92"/>
      <c r="Y20" s="92"/>
      <c r="Z20" s="92" t="s">
        <v>606</v>
      </c>
      <c r="AA20" s="92" t="s">
        <v>770</v>
      </c>
      <c r="AB20" s="92" t="s">
        <v>1236</v>
      </c>
      <c r="AC20" s="92" t="s">
        <v>778</v>
      </c>
      <c r="AD20" s="92" t="s">
        <v>925</v>
      </c>
      <c r="AE20" s="92"/>
      <c r="AF20" s="92"/>
    </row>
    <row r="21" spans="1:32" ht="12.75" customHeight="1">
      <c r="A21" s="92" t="s">
        <v>892</v>
      </c>
      <c r="B21" s="92" t="s">
        <v>50</v>
      </c>
      <c r="C21" s="92" t="s">
        <v>922</v>
      </c>
      <c r="D21" s="92"/>
      <c r="E21" s="92" t="s">
        <v>49</v>
      </c>
      <c r="F21" s="92"/>
      <c r="G21" s="156">
        <v>9992621</v>
      </c>
      <c r="H21" s="156">
        <v>18855817</v>
      </c>
      <c r="I21" s="156" t="s">
        <v>772</v>
      </c>
      <c r="J21" s="156">
        <v>1</v>
      </c>
      <c r="K21" s="156">
        <v>22</v>
      </c>
      <c r="L21" s="96">
        <v>-115000</v>
      </c>
      <c r="M21" s="92" t="s">
        <v>2905</v>
      </c>
      <c r="N21" s="100">
        <v>44592</v>
      </c>
      <c r="O21" s="100">
        <v>44592</v>
      </c>
      <c r="P21" s="100">
        <v>44587</v>
      </c>
      <c r="Q21" s="92" t="s">
        <v>2906</v>
      </c>
      <c r="R21" s="92" t="s">
        <v>2907</v>
      </c>
      <c r="S21" s="92"/>
      <c r="T21" s="92">
        <v>0</v>
      </c>
      <c r="U21" s="92" t="s">
        <v>2908</v>
      </c>
      <c r="V21" s="92"/>
      <c r="W21" s="92"/>
      <c r="X21" s="92" t="s">
        <v>773</v>
      </c>
      <c r="Y21" s="92"/>
      <c r="Z21" s="92" t="s">
        <v>606</v>
      </c>
      <c r="AA21" s="92" t="s">
        <v>770</v>
      </c>
      <c r="AB21" s="92" t="s">
        <v>2254</v>
      </c>
      <c r="AC21" s="92" t="s">
        <v>778</v>
      </c>
      <c r="AD21" s="92" t="s">
        <v>925</v>
      </c>
      <c r="AE21" s="92"/>
      <c r="AF21" s="92"/>
    </row>
    <row r="22" spans="1:32" ht="12.75" customHeight="1">
      <c r="A22" s="92" t="s">
        <v>892</v>
      </c>
      <c r="B22" s="92" t="s">
        <v>1001</v>
      </c>
      <c r="C22" s="92" t="s">
        <v>922</v>
      </c>
      <c r="D22" s="92"/>
      <c r="E22" s="92" t="s">
        <v>768</v>
      </c>
      <c r="F22" s="92"/>
      <c r="G22" s="156">
        <v>9988540</v>
      </c>
      <c r="H22" s="156">
        <v>1421976</v>
      </c>
      <c r="I22" s="156" t="s">
        <v>769</v>
      </c>
      <c r="J22" s="156">
        <v>1</v>
      </c>
      <c r="K22" s="156">
        <v>22</v>
      </c>
      <c r="L22" s="96">
        <v>112500</v>
      </c>
      <c r="M22" s="92" t="s">
        <v>2909</v>
      </c>
      <c r="N22" s="100">
        <v>44538</v>
      </c>
      <c r="O22" s="100">
        <v>44575</v>
      </c>
      <c r="P22" s="100">
        <v>44575</v>
      </c>
      <c r="Q22" s="92" t="s">
        <v>2910</v>
      </c>
      <c r="R22" s="92" t="s">
        <v>2911</v>
      </c>
      <c r="S22" s="92" t="s">
        <v>2912</v>
      </c>
      <c r="T22" s="92" t="s">
        <v>2913</v>
      </c>
      <c r="U22" s="92" t="s">
        <v>2914</v>
      </c>
      <c r="V22" s="92"/>
      <c r="W22" s="92"/>
      <c r="X22" s="92"/>
      <c r="Y22" s="92"/>
      <c r="Z22" s="92" t="s">
        <v>606</v>
      </c>
      <c r="AA22" s="92" t="s">
        <v>770</v>
      </c>
      <c r="AB22" s="92" t="s">
        <v>1236</v>
      </c>
      <c r="AC22" s="92" t="s">
        <v>778</v>
      </c>
      <c r="AD22" s="92" t="s">
        <v>1002</v>
      </c>
      <c r="AE22" s="92"/>
      <c r="AF22" s="92"/>
    </row>
    <row r="23" spans="1:32" ht="12.75" customHeight="1">
      <c r="A23" s="92" t="s">
        <v>892</v>
      </c>
      <c r="B23" s="92" t="s">
        <v>1001</v>
      </c>
      <c r="C23" s="92" t="s">
        <v>922</v>
      </c>
      <c r="D23" s="92"/>
      <c r="E23" s="92" t="s">
        <v>768</v>
      </c>
      <c r="F23" s="92"/>
      <c r="G23" s="156">
        <v>9988549</v>
      </c>
      <c r="H23" s="156">
        <v>1421985</v>
      </c>
      <c r="I23" s="156" t="s">
        <v>769</v>
      </c>
      <c r="J23" s="156">
        <v>1</v>
      </c>
      <c r="K23" s="156">
        <v>22</v>
      </c>
      <c r="L23" s="96">
        <v>101250</v>
      </c>
      <c r="M23" s="92" t="s">
        <v>2915</v>
      </c>
      <c r="N23" s="100">
        <v>44568</v>
      </c>
      <c r="O23" s="100">
        <v>44575</v>
      </c>
      <c r="P23" s="100">
        <v>44575</v>
      </c>
      <c r="Q23" s="92" t="s">
        <v>2916</v>
      </c>
      <c r="R23" s="92" t="s">
        <v>716</v>
      </c>
      <c r="S23" s="92" t="s">
        <v>2917</v>
      </c>
      <c r="T23" s="92" t="s">
        <v>1995</v>
      </c>
      <c r="U23" s="92" t="s">
        <v>2918</v>
      </c>
      <c r="V23" s="92"/>
      <c r="W23" s="92"/>
      <c r="X23" s="92"/>
      <c r="Y23" s="92"/>
      <c r="Z23" s="92" t="s">
        <v>606</v>
      </c>
      <c r="AA23" s="92" t="s">
        <v>770</v>
      </c>
      <c r="AB23" s="92" t="s">
        <v>1236</v>
      </c>
      <c r="AC23" s="92" t="s">
        <v>778</v>
      </c>
      <c r="AD23" s="92" t="s">
        <v>1002</v>
      </c>
      <c r="AE23" s="92"/>
      <c r="AF23" s="92"/>
    </row>
    <row r="24" spans="1:32" ht="12.75" customHeight="1">
      <c r="A24" s="92" t="s">
        <v>892</v>
      </c>
      <c r="B24" s="92" t="s">
        <v>52</v>
      </c>
      <c r="C24" s="92" t="s">
        <v>922</v>
      </c>
      <c r="D24" s="92"/>
      <c r="E24" s="92" t="s">
        <v>768</v>
      </c>
      <c r="F24" s="92"/>
      <c r="G24" s="156">
        <v>9991440</v>
      </c>
      <c r="H24" s="156">
        <v>1422700</v>
      </c>
      <c r="I24" s="156" t="s">
        <v>769</v>
      </c>
      <c r="J24" s="156">
        <v>1</v>
      </c>
      <c r="K24" s="156">
        <v>22</v>
      </c>
      <c r="L24" s="96">
        <v>107440</v>
      </c>
      <c r="M24" s="92" t="s">
        <v>1954</v>
      </c>
      <c r="N24" s="100">
        <v>44575</v>
      </c>
      <c r="O24" s="100">
        <v>44582</v>
      </c>
      <c r="P24" s="100">
        <v>44582</v>
      </c>
      <c r="Q24" s="92" t="s">
        <v>1951</v>
      </c>
      <c r="R24" s="92" t="s">
        <v>839</v>
      </c>
      <c r="S24" s="92" t="s">
        <v>2919</v>
      </c>
      <c r="T24" s="92" t="s">
        <v>1738</v>
      </c>
      <c r="U24" s="92" t="s">
        <v>2920</v>
      </c>
      <c r="V24" s="92"/>
      <c r="W24" s="92"/>
      <c r="X24" s="92"/>
      <c r="Y24" s="92"/>
      <c r="Z24" s="92" t="s">
        <v>606</v>
      </c>
      <c r="AA24" s="92" t="s">
        <v>770</v>
      </c>
      <c r="AB24" s="92" t="s">
        <v>1236</v>
      </c>
      <c r="AC24" s="92" t="s">
        <v>778</v>
      </c>
      <c r="AD24" s="92" t="s">
        <v>782</v>
      </c>
      <c r="AE24" s="92"/>
      <c r="AF24" s="92"/>
    </row>
    <row r="25" spans="1:32" ht="12.75" customHeight="1">
      <c r="A25" s="92" t="s">
        <v>892</v>
      </c>
      <c r="B25" s="92" t="s">
        <v>1023</v>
      </c>
      <c r="C25" s="92" t="s">
        <v>922</v>
      </c>
      <c r="D25" s="92"/>
      <c r="E25" s="92" t="s">
        <v>49</v>
      </c>
      <c r="F25" s="92"/>
      <c r="G25" s="156">
        <v>9981332</v>
      </c>
      <c r="H25" s="156">
        <v>18850506</v>
      </c>
      <c r="I25" s="156" t="s">
        <v>772</v>
      </c>
      <c r="J25" s="156">
        <v>1</v>
      </c>
      <c r="K25" s="156">
        <v>22</v>
      </c>
      <c r="L25" s="96">
        <v>-80000</v>
      </c>
      <c r="M25" s="92" t="s">
        <v>2921</v>
      </c>
      <c r="N25" s="100">
        <v>44592</v>
      </c>
      <c r="O25" s="100">
        <v>44592</v>
      </c>
      <c r="P25" s="100">
        <v>44557</v>
      </c>
      <c r="Q25" s="92" t="s">
        <v>2922</v>
      </c>
      <c r="R25" s="92" t="s">
        <v>2922</v>
      </c>
      <c r="S25" s="92"/>
      <c r="T25" s="92">
        <v>0</v>
      </c>
      <c r="U25" s="92" t="s">
        <v>2923</v>
      </c>
      <c r="V25" s="92"/>
      <c r="W25" s="92"/>
      <c r="X25" s="92" t="s">
        <v>1251</v>
      </c>
      <c r="Y25" s="92"/>
      <c r="Z25" s="92" t="s">
        <v>606</v>
      </c>
      <c r="AA25" s="92" t="s">
        <v>770</v>
      </c>
      <c r="AB25" s="92" t="s">
        <v>2924</v>
      </c>
      <c r="AC25" s="92" t="s">
        <v>778</v>
      </c>
      <c r="AD25" s="92" t="s">
        <v>1024</v>
      </c>
      <c r="AE25" s="92"/>
      <c r="AF25" s="92"/>
    </row>
    <row r="26" spans="1:32" ht="12.75" customHeight="1">
      <c r="A26" s="92" t="s">
        <v>892</v>
      </c>
      <c r="B26" s="92" t="s">
        <v>1023</v>
      </c>
      <c r="C26" s="92" t="s">
        <v>922</v>
      </c>
      <c r="D26" s="92"/>
      <c r="E26" s="92" t="s">
        <v>49</v>
      </c>
      <c r="F26" s="92"/>
      <c r="G26" s="156">
        <v>9983477</v>
      </c>
      <c r="H26" s="156">
        <v>18851598</v>
      </c>
      <c r="I26" s="156" t="s">
        <v>772</v>
      </c>
      <c r="J26" s="156">
        <v>1</v>
      </c>
      <c r="K26" s="156">
        <v>22</v>
      </c>
      <c r="L26" s="96">
        <v>3800</v>
      </c>
      <c r="M26" s="92" t="s">
        <v>1523</v>
      </c>
      <c r="N26" s="100">
        <v>44592</v>
      </c>
      <c r="O26" s="100">
        <v>44592</v>
      </c>
      <c r="P26" s="100">
        <v>44565</v>
      </c>
      <c r="Q26" s="92" t="s">
        <v>2925</v>
      </c>
      <c r="R26" s="92" t="s">
        <v>2925</v>
      </c>
      <c r="S26" s="92"/>
      <c r="T26" s="92">
        <v>0</v>
      </c>
      <c r="U26" s="92" t="s">
        <v>1522</v>
      </c>
      <c r="V26" s="92"/>
      <c r="W26" s="92"/>
      <c r="X26" s="92" t="s">
        <v>1251</v>
      </c>
      <c r="Y26" s="92"/>
      <c r="Z26" s="92" t="s">
        <v>606</v>
      </c>
      <c r="AA26" s="92" t="s">
        <v>770</v>
      </c>
      <c r="AB26" s="92" t="s">
        <v>2924</v>
      </c>
      <c r="AC26" s="92" t="s">
        <v>778</v>
      </c>
      <c r="AD26" s="92" t="s">
        <v>1024</v>
      </c>
      <c r="AE26" s="92"/>
      <c r="AF26" s="92"/>
    </row>
    <row r="27" spans="1:32" ht="12.75" customHeight="1">
      <c r="A27" s="92" t="s">
        <v>892</v>
      </c>
      <c r="B27" s="92" t="s">
        <v>1005</v>
      </c>
      <c r="C27" s="92" t="s">
        <v>922</v>
      </c>
      <c r="D27" s="92"/>
      <c r="E27" s="92" t="s">
        <v>768</v>
      </c>
      <c r="F27" s="92"/>
      <c r="G27" s="156">
        <v>9992732</v>
      </c>
      <c r="H27" s="156">
        <v>1423150</v>
      </c>
      <c r="I27" s="156" t="s">
        <v>769</v>
      </c>
      <c r="J27" s="156">
        <v>1</v>
      </c>
      <c r="K27" s="156">
        <v>22</v>
      </c>
      <c r="L27" s="96">
        <v>515000</v>
      </c>
      <c r="M27" s="92" t="s">
        <v>2926</v>
      </c>
      <c r="N27" s="100">
        <v>44271</v>
      </c>
      <c r="O27" s="100">
        <v>44587</v>
      </c>
      <c r="P27" s="100">
        <v>44587</v>
      </c>
      <c r="Q27" s="92" t="s">
        <v>2927</v>
      </c>
      <c r="R27" s="92" t="s">
        <v>1208</v>
      </c>
      <c r="S27" s="92" t="s">
        <v>2928</v>
      </c>
      <c r="T27" s="92" t="s">
        <v>2929</v>
      </c>
      <c r="U27" s="92" t="s">
        <v>2930</v>
      </c>
      <c r="V27" s="92"/>
      <c r="W27" s="92"/>
      <c r="X27" s="92"/>
      <c r="Y27" s="92"/>
      <c r="Z27" s="92" t="s">
        <v>606</v>
      </c>
      <c r="AA27" s="92" t="s">
        <v>770</v>
      </c>
      <c r="AB27" s="92" t="s">
        <v>1236</v>
      </c>
      <c r="AC27" s="92" t="s">
        <v>778</v>
      </c>
      <c r="AD27" s="92" t="s">
        <v>1006</v>
      </c>
      <c r="AE27" s="92"/>
      <c r="AF27" s="92"/>
    </row>
    <row r="28" spans="1:32" ht="12.75" customHeight="1">
      <c r="A28" s="92" t="s">
        <v>892</v>
      </c>
      <c r="B28" s="92" t="s">
        <v>62</v>
      </c>
      <c r="C28" s="92" t="s">
        <v>922</v>
      </c>
      <c r="D28" s="92"/>
      <c r="E28" s="92" t="s">
        <v>768</v>
      </c>
      <c r="F28" s="92"/>
      <c r="G28" s="156">
        <v>9986806</v>
      </c>
      <c r="H28" s="156">
        <v>1421446</v>
      </c>
      <c r="I28" s="156" t="s">
        <v>769</v>
      </c>
      <c r="J28" s="156">
        <v>1</v>
      </c>
      <c r="K28" s="156">
        <v>22</v>
      </c>
      <c r="L28" s="96">
        <v>191220</v>
      </c>
      <c r="M28" s="92" t="s">
        <v>2142</v>
      </c>
      <c r="N28" s="100">
        <v>44531</v>
      </c>
      <c r="O28" s="100">
        <v>44573</v>
      </c>
      <c r="P28" s="100">
        <v>44573</v>
      </c>
      <c r="Q28" s="92" t="s">
        <v>2138</v>
      </c>
      <c r="R28" s="92" t="s">
        <v>647</v>
      </c>
      <c r="S28" s="92" t="s">
        <v>2931</v>
      </c>
      <c r="T28" s="92" t="s">
        <v>2140</v>
      </c>
      <c r="U28" s="92" t="s">
        <v>2141</v>
      </c>
      <c r="V28" s="92"/>
      <c r="W28" s="92"/>
      <c r="X28" s="92"/>
      <c r="Y28" s="92"/>
      <c r="Z28" s="92" t="s">
        <v>606</v>
      </c>
      <c r="AA28" s="92" t="s">
        <v>770</v>
      </c>
      <c r="AB28" s="92" t="s">
        <v>1236</v>
      </c>
      <c r="AC28" s="92" t="s">
        <v>778</v>
      </c>
      <c r="AD28" s="92" t="s">
        <v>914</v>
      </c>
      <c r="AE28" s="92"/>
      <c r="AF28" s="92"/>
    </row>
    <row r="29" spans="1:32" ht="12.75" customHeight="1">
      <c r="A29" s="92" t="s">
        <v>892</v>
      </c>
      <c r="B29" s="92" t="s">
        <v>66</v>
      </c>
      <c r="C29" s="92" t="s">
        <v>922</v>
      </c>
      <c r="D29" s="92"/>
      <c r="E29" s="92" t="s">
        <v>768</v>
      </c>
      <c r="F29" s="92"/>
      <c r="G29" s="156">
        <v>9986756</v>
      </c>
      <c r="H29" s="156">
        <v>1421397</v>
      </c>
      <c r="I29" s="156" t="s">
        <v>769</v>
      </c>
      <c r="J29" s="156">
        <v>1</v>
      </c>
      <c r="K29" s="156">
        <v>22</v>
      </c>
      <c r="L29" s="96">
        <v>54000</v>
      </c>
      <c r="M29" s="92" t="s">
        <v>2412</v>
      </c>
      <c r="N29" s="100">
        <v>44525</v>
      </c>
      <c r="O29" s="100">
        <v>44573</v>
      </c>
      <c r="P29" s="100">
        <v>44573</v>
      </c>
      <c r="Q29" s="92" t="s">
        <v>2784</v>
      </c>
      <c r="R29" s="92" t="s">
        <v>710</v>
      </c>
      <c r="S29" s="92" t="s">
        <v>2932</v>
      </c>
      <c r="T29" s="92" t="s">
        <v>2786</v>
      </c>
      <c r="U29" s="92" t="s">
        <v>2787</v>
      </c>
      <c r="V29" s="92"/>
      <c r="W29" s="92"/>
      <c r="X29" s="92"/>
      <c r="Y29" s="92"/>
      <c r="Z29" s="92" t="s">
        <v>606</v>
      </c>
      <c r="AA29" s="92" t="s">
        <v>770</v>
      </c>
      <c r="AB29" s="92" t="s">
        <v>1236</v>
      </c>
      <c r="AC29" s="92" t="s">
        <v>778</v>
      </c>
      <c r="AD29" s="92" t="s">
        <v>783</v>
      </c>
      <c r="AE29" s="92"/>
      <c r="AF29" s="92"/>
    </row>
    <row r="30" spans="1:32" ht="12.75" customHeight="1">
      <c r="A30" s="92" t="s">
        <v>892</v>
      </c>
      <c r="B30" s="92" t="s">
        <v>66</v>
      </c>
      <c r="C30" s="92" t="s">
        <v>922</v>
      </c>
      <c r="D30" s="92"/>
      <c r="E30" s="92" t="s">
        <v>768</v>
      </c>
      <c r="F30" s="92"/>
      <c r="G30" s="156">
        <v>9991588</v>
      </c>
      <c r="H30" s="156">
        <v>1422846</v>
      </c>
      <c r="I30" s="156" t="s">
        <v>769</v>
      </c>
      <c r="J30" s="156">
        <v>1</v>
      </c>
      <c r="K30" s="156">
        <v>22</v>
      </c>
      <c r="L30" s="96">
        <v>100000</v>
      </c>
      <c r="M30" s="92" t="s">
        <v>2933</v>
      </c>
      <c r="N30" s="100">
        <v>44581</v>
      </c>
      <c r="O30" s="100">
        <v>44582</v>
      </c>
      <c r="P30" s="100">
        <v>44582</v>
      </c>
      <c r="Q30" s="92" t="s">
        <v>2934</v>
      </c>
      <c r="R30" s="92" t="s">
        <v>2935</v>
      </c>
      <c r="S30" s="92" t="s">
        <v>2936</v>
      </c>
      <c r="T30" s="92" t="s">
        <v>2937</v>
      </c>
      <c r="U30" s="92" t="s">
        <v>2938</v>
      </c>
      <c r="V30" s="92"/>
      <c r="W30" s="92"/>
      <c r="X30" s="92"/>
      <c r="Y30" s="92"/>
      <c r="Z30" s="92" t="s">
        <v>606</v>
      </c>
      <c r="AA30" s="92" t="s">
        <v>770</v>
      </c>
      <c r="AB30" s="92" t="s">
        <v>1236</v>
      </c>
      <c r="AC30" s="92" t="s">
        <v>778</v>
      </c>
      <c r="AD30" s="92" t="s">
        <v>783</v>
      </c>
      <c r="AE30" s="92"/>
      <c r="AF30" s="92"/>
    </row>
    <row r="31" spans="1:32" ht="12.75" customHeight="1">
      <c r="A31" s="92" t="s">
        <v>892</v>
      </c>
      <c r="B31" s="92" t="s">
        <v>66</v>
      </c>
      <c r="C31" s="92" t="s">
        <v>922</v>
      </c>
      <c r="D31" s="92"/>
      <c r="E31" s="92" t="s">
        <v>49</v>
      </c>
      <c r="F31" s="92"/>
      <c r="G31" s="156">
        <v>9982044</v>
      </c>
      <c r="H31" s="156">
        <v>18850634</v>
      </c>
      <c r="I31" s="156" t="s">
        <v>772</v>
      </c>
      <c r="J31" s="156">
        <v>1</v>
      </c>
      <c r="K31" s="156">
        <v>22</v>
      </c>
      <c r="L31" s="96">
        <v>-825000</v>
      </c>
      <c r="M31" s="92" t="s">
        <v>2939</v>
      </c>
      <c r="N31" s="100">
        <v>44592</v>
      </c>
      <c r="O31" s="100">
        <v>44592</v>
      </c>
      <c r="P31" s="100">
        <v>44560</v>
      </c>
      <c r="Q31" s="92" t="s">
        <v>2940</v>
      </c>
      <c r="R31" s="92" t="s">
        <v>2941</v>
      </c>
      <c r="S31" s="92"/>
      <c r="T31" s="92">
        <v>0</v>
      </c>
      <c r="U31" s="92" t="s">
        <v>2942</v>
      </c>
      <c r="V31" s="92"/>
      <c r="W31" s="92"/>
      <c r="X31" s="92" t="s">
        <v>1251</v>
      </c>
      <c r="Y31" s="92"/>
      <c r="Z31" s="92" t="s">
        <v>606</v>
      </c>
      <c r="AA31" s="92" t="s">
        <v>770</v>
      </c>
      <c r="AB31" s="92" t="s">
        <v>2409</v>
      </c>
      <c r="AC31" s="92" t="s">
        <v>778</v>
      </c>
      <c r="AD31" s="92" t="s">
        <v>783</v>
      </c>
      <c r="AE31" s="92"/>
      <c r="AF31" s="92"/>
    </row>
    <row r="32" spans="1:32" ht="12.75" customHeight="1">
      <c r="A32" s="92" t="s">
        <v>892</v>
      </c>
      <c r="B32" s="92" t="s">
        <v>66</v>
      </c>
      <c r="C32" s="92" t="s">
        <v>922</v>
      </c>
      <c r="D32" s="92"/>
      <c r="E32" s="92" t="s">
        <v>49</v>
      </c>
      <c r="F32" s="92"/>
      <c r="G32" s="156">
        <v>9982048</v>
      </c>
      <c r="H32" s="156">
        <v>18850635</v>
      </c>
      <c r="I32" s="156" t="s">
        <v>772</v>
      </c>
      <c r="J32" s="156">
        <v>1</v>
      </c>
      <c r="K32" s="156">
        <v>22</v>
      </c>
      <c r="L32" s="96">
        <v>-100000</v>
      </c>
      <c r="M32" s="92" t="s">
        <v>2933</v>
      </c>
      <c r="N32" s="100">
        <v>44592</v>
      </c>
      <c r="O32" s="100">
        <v>44592</v>
      </c>
      <c r="P32" s="100">
        <v>44560</v>
      </c>
      <c r="Q32" s="92" t="s">
        <v>2943</v>
      </c>
      <c r="R32" s="92" t="s">
        <v>2943</v>
      </c>
      <c r="S32" s="92"/>
      <c r="T32" s="92">
        <v>0</v>
      </c>
      <c r="U32" s="92" t="s">
        <v>2938</v>
      </c>
      <c r="V32" s="92"/>
      <c r="W32" s="92"/>
      <c r="X32" s="92" t="s">
        <v>1251</v>
      </c>
      <c r="Y32" s="92"/>
      <c r="Z32" s="92" t="s">
        <v>606</v>
      </c>
      <c r="AA32" s="92" t="s">
        <v>770</v>
      </c>
      <c r="AB32" s="92" t="s">
        <v>2409</v>
      </c>
      <c r="AC32" s="92" t="s">
        <v>778</v>
      </c>
      <c r="AD32" s="92" t="s">
        <v>783</v>
      </c>
      <c r="AE32" s="92"/>
      <c r="AF32" s="92"/>
    </row>
    <row r="33" spans="1:32" ht="12.75" customHeight="1">
      <c r="A33" s="92" t="s">
        <v>892</v>
      </c>
      <c r="B33" s="92" t="s">
        <v>66</v>
      </c>
      <c r="C33" s="92" t="s">
        <v>922</v>
      </c>
      <c r="D33" s="92"/>
      <c r="E33" s="92" t="s">
        <v>49</v>
      </c>
      <c r="F33" s="92"/>
      <c r="G33" s="156">
        <v>9982186</v>
      </c>
      <c r="H33" s="156">
        <v>18850688</v>
      </c>
      <c r="I33" s="156" t="s">
        <v>772</v>
      </c>
      <c r="J33" s="156">
        <v>1</v>
      </c>
      <c r="K33" s="156">
        <v>22</v>
      </c>
      <c r="L33" s="96">
        <v>-857828</v>
      </c>
      <c r="M33" s="92" t="s">
        <v>2944</v>
      </c>
      <c r="N33" s="100">
        <v>44592</v>
      </c>
      <c r="O33" s="100">
        <v>44592</v>
      </c>
      <c r="P33" s="100">
        <v>44560</v>
      </c>
      <c r="Q33" s="92" t="s">
        <v>2945</v>
      </c>
      <c r="R33" s="92" t="s">
        <v>2945</v>
      </c>
      <c r="S33" s="92"/>
      <c r="T33" s="92">
        <v>0</v>
      </c>
      <c r="U33" s="92" t="s">
        <v>2946</v>
      </c>
      <c r="V33" s="92"/>
      <c r="W33" s="92"/>
      <c r="X33" s="92" t="s">
        <v>1251</v>
      </c>
      <c r="Y33" s="92"/>
      <c r="Z33" s="92" t="s">
        <v>606</v>
      </c>
      <c r="AA33" s="92" t="s">
        <v>770</v>
      </c>
      <c r="AB33" s="92" t="s">
        <v>2409</v>
      </c>
      <c r="AC33" s="92" t="s">
        <v>778</v>
      </c>
      <c r="AD33" s="92" t="s">
        <v>783</v>
      </c>
      <c r="AE33" s="92"/>
      <c r="AF33" s="92"/>
    </row>
    <row r="34" spans="1:32" ht="12.75" customHeight="1">
      <c r="A34" s="92" t="s">
        <v>892</v>
      </c>
      <c r="B34" s="92" t="s">
        <v>66</v>
      </c>
      <c r="C34" s="92" t="s">
        <v>922</v>
      </c>
      <c r="D34" s="92"/>
      <c r="E34" s="92" t="s">
        <v>49</v>
      </c>
      <c r="F34" s="92"/>
      <c r="G34" s="156">
        <v>9982187</v>
      </c>
      <c r="H34" s="156">
        <v>18850689</v>
      </c>
      <c r="I34" s="156" t="s">
        <v>772</v>
      </c>
      <c r="J34" s="156">
        <v>1</v>
      </c>
      <c r="K34" s="156">
        <v>22</v>
      </c>
      <c r="L34" s="96">
        <v>-50000</v>
      </c>
      <c r="M34" s="92" t="s">
        <v>2947</v>
      </c>
      <c r="N34" s="100">
        <v>44592</v>
      </c>
      <c r="O34" s="100">
        <v>44592</v>
      </c>
      <c r="P34" s="100">
        <v>44560</v>
      </c>
      <c r="Q34" s="92" t="s">
        <v>2948</v>
      </c>
      <c r="R34" s="92" t="s">
        <v>2948</v>
      </c>
      <c r="S34" s="92"/>
      <c r="T34" s="92">
        <v>0</v>
      </c>
      <c r="U34" s="92" t="s">
        <v>2949</v>
      </c>
      <c r="V34" s="92"/>
      <c r="W34" s="92"/>
      <c r="X34" s="92" t="s">
        <v>1251</v>
      </c>
      <c r="Y34" s="92"/>
      <c r="Z34" s="92" t="s">
        <v>606</v>
      </c>
      <c r="AA34" s="92" t="s">
        <v>770</v>
      </c>
      <c r="AB34" s="92" t="s">
        <v>2409</v>
      </c>
      <c r="AC34" s="92" t="s">
        <v>778</v>
      </c>
      <c r="AD34" s="92" t="s">
        <v>783</v>
      </c>
      <c r="AE34" s="92"/>
      <c r="AF34" s="92"/>
    </row>
    <row r="35" spans="1:32" ht="12.75" customHeight="1">
      <c r="A35" s="92" t="s">
        <v>892</v>
      </c>
      <c r="B35" s="92" t="s">
        <v>66</v>
      </c>
      <c r="C35" s="92" t="s">
        <v>922</v>
      </c>
      <c r="D35" s="92"/>
      <c r="E35" s="92" t="s">
        <v>49</v>
      </c>
      <c r="F35" s="92"/>
      <c r="G35" s="156">
        <v>9993730</v>
      </c>
      <c r="H35" s="156">
        <v>18894117</v>
      </c>
      <c r="I35" s="156" t="s">
        <v>772</v>
      </c>
      <c r="J35" s="156">
        <v>1</v>
      </c>
      <c r="K35" s="156">
        <v>22</v>
      </c>
      <c r="L35" s="96">
        <v>-40000</v>
      </c>
      <c r="M35" s="92" t="s">
        <v>2950</v>
      </c>
      <c r="N35" s="100">
        <v>44592</v>
      </c>
      <c r="O35" s="100">
        <v>44592</v>
      </c>
      <c r="P35" s="100">
        <v>44589</v>
      </c>
      <c r="Q35" s="92" t="s">
        <v>2951</v>
      </c>
      <c r="R35" s="92" t="s">
        <v>2952</v>
      </c>
      <c r="S35" s="92"/>
      <c r="T35" s="92">
        <v>0</v>
      </c>
      <c r="U35" s="92" t="s">
        <v>2953</v>
      </c>
      <c r="V35" s="92"/>
      <c r="W35" s="92"/>
      <c r="X35" s="92" t="s">
        <v>1251</v>
      </c>
      <c r="Y35" s="92"/>
      <c r="Z35" s="92" t="s">
        <v>606</v>
      </c>
      <c r="AA35" s="92" t="s">
        <v>770</v>
      </c>
      <c r="AB35" s="92" t="s">
        <v>2409</v>
      </c>
      <c r="AC35" s="92" t="s">
        <v>778</v>
      </c>
      <c r="AD35" s="92" t="s">
        <v>783</v>
      </c>
      <c r="AE35" s="92"/>
      <c r="AF35" s="92"/>
    </row>
    <row r="36" spans="1:32" ht="12.75" customHeight="1">
      <c r="A36" s="92" t="s">
        <v>620</v>
      </c>
      <c r="B36" s="92" t="s">
        <v>71</v>
      </c>
      <c r="C36" s="92" t="s">
        <v>922</v>
      </c>
      <c r="D36" s="92"/>
      <c r="E36" s="92" t="s">
        <v>49</v>
      </c>
      <c r="F36" s="92" t="s">
        <v>768</v>
      </c>
      <c r="G36" s="156">
        <v>9979469</v>
      </c>
      <c r="H36" s="156">
        <v>18850334</v>
      </c>
      <c r="I36" s="156" t="s">
        <v>772</v>
      </c>
      <c r="J36" s="156">
        <v>1</v>
      </c>
      <c r="K36" s="156">
        <v>22</v>
      </c>
      <c r="L36" s="96">
        <v>-10000</v>
      </c>
      <c r="M36" s="92"/>
      <c r="N36" s="100">
        <v>44562</v>
      </c>
      <c r="O36" s="100">
        <v>44562</v>
      </c>
      <c r="P36" s="100">
        <v>44551</v>
      </c>
      <c r="Q36" s="92" t="s">
        <v>2954</v>
      </c>
      <c r="R36" s="92" t="s">
        <v>2954</v>
      </c>
      <c r="S36" s="92"/>
      <c r="T36" s="92">
        <v>0</v>
      </c>
      <c r="U36" s="92" t="s">
        <v>2955</v>
      </c>
      <c r="V36" s="92"/>
      <c r="W36" s="92"/>
      <c r="X36" s="92"/>
      <c r="Y36" s="92"/>
      <c r="Z36" s="92" t="s">
        <v>606</v>
      </c>
      <c r="AA36" s="92" t="s">
        <v>770</v>
      </c>
      <c r="AB36" s="92" t="s">
        <v>1855</v>
      </c>
      <c r="AC36" s="92" t="s">
        <v>1281</v>
      </c>
      <c r="AD36" s="92" t="s">
        <v>910</v>
      </c>
      <c r="AE36" s="92"/>
      <c r="AF36" s="92"/>
    </row>
    <row r="37" spans="1:32" ht="12.75" customHeight="1">
      <c r="A37" s="92" t="s">
        <v>620</v>
      </c>
      <c r="B37" s="92" t="s">
        <v>71</v>
      </c>
      <c r="C37" s="92" t="s">
        <v>922</v>
      </c>
      <c r="D37" s="92"/>
      <c r="E37" s="92" t="s">
        <v>49</v>
      </c>
      <c r="F37" s="92" t="s">
        <v>768</v>
      </c>
      <c r="G37" s="156">
        <v>9979469</v>
      </c>
      <c r="H37" s="156">
        <v>18850334</v>
      </c>
      <c r="I37" s="156" t="s">
        <v>772</v>
      </c>
      <c r="J37" s="156">
        <v>1</v>
      </c>
      <c r="K37" s="156">
        <v>22</v>
      </c>
      <c r="L37" s="96">
        <v>10000</v>
      </c>
      <c r="M37" s="92"/>
      <c r="N37" s="100">
        <v>44562</v>
      </c>
      <c r="O37" s="100">
        <v>44562</v>
      </c>
      <c r="P37" s="100">
        <v>44551</v>
      </c>
      <c r="Q37" s="92" t="s">
        <v>2954</v>
      </c>
      <c r="R37" s="92" t="s">
        <v>2954</v>
      </c>
      <c r="S37" s="92"/>
      <c r="T37" s="92">
        <v>0</v>
      </c>
      <c r="U37" s="92" t="s">
        <v>2955</v>
      </c>
      <c r="V37" s="92"/>
      <c r="W37" s="92"/>
      <c r="X37" s="92"/>
      <c r="Y37" s="92"/>
      <c r="Z37" s="92" t="s">
        <v>606</v>
      </c>
      <c r="AA37" s="92" t="s">
        <v>770</v>
      </c>
      <c r="AB37" s="92" t="s">
        <v>1855</v>
      </c>
      <c r="AC37" s="92" t="s">
        <v>1281</v>
      </c>
      <c r="AD37" s="92" t="s">
        <v>910</v>
      </c>
      <c r="AE37" s="92"/>
      <c r="AF37" s="92"/>
    </row>
    <row r="38" spans="1:32" ht="12.75" customHeight="1">
      <c r="A38" s="92" t="s">
        <v>620</v>
      </c>
      <c r="B38" s="92" t="s">
        <v>71</v>
      </c>
      <c r="C38" s="92" t="s">
        <v>922</v>
      </c>
      <c r="D38" s="92"/>
      <c r="E38" s="92" t="s">
        <v>49</v>
      </c>
      <c r="F38" s="92"/>
      <c r="G38" s="156">
        <v>9988586</v>
      </c>
      <c r="H38" s="156">
        <v>18852953</v>
      </c>
      <c r="I38" s="156" t="s">
        <v>772</v>
      </c>
      <c r="J38" s="156">
        <v>1</v>
      </c>
      <c r="K38" s="156">
        <v>22</v>
      </c>
      <c r="L38" s="96">
        <v>-50000</v>
      </c>
      <c r="M38" s="92" t="s">
        <v>2956</v>
      </c>
      <c r="N38" s="100">
        <v>44562</v>
      </c>
      <c r="O38" s="100">
        <v>44562</v>
      </c>
      <c r="P38" s="100">
        <v>44575</v>
      </c>
      <c r="Q38" s="92" t="s">
        <v>2954</v>
      </c>
      <c r="R38" s="92" t="s">
        <v>2954</v>
      </c>
      <c r="S38" s="92"/>
      <c r="T38" s="92">
        <v>0</v>
      </c>
      <c r="U38" s="92" t="s">
        <v>2955</v>
      </c>
      <c r="V38" s="92"/>
      <c r="W38" s="92"/>
      <c r="X38" s="92"/>
      <c r="Y38" s="92"/>
      <c r="Z38" s="92" t="s">
        <v>606</v>
      </c>
      <c r="AA38" s="92" t="s">
        <v>770</v>
      </c>
      <c r="AB38" s="92" t="s">
        <v>1346</v>
      </c>
      <c r="AC38" s="92" t="s">
        <v>1281</v>
      </c>
      <c r="AD38" s="92" t="s">
        <v>910</v>
      </c>
      <c r="AE38" s="92"/>
      <c r="AF38" s="92"/>
    </row>
    <row r="39" spans="1:32" ht="12.75" customHeight="1">
      <c r="A39" s="92" t="s">
        <v>620</v>
      </c>
      <c r="B39" s="92" t="s">
        <v>57</v>
      </c>
      <c r="C39" s="92" t="s">
        <v>922</v>
      </c>
      <c r="D39" s="92"/>
      <c r="E39" s="92" t="s">
        <v>49</v>
      </c>
      <c r="F39" s="92"/>
      <c r="G39" s="156">
        <v>9985499</v>
      </c>
      <c r="H39" s="156">
        <v>18852104</v>
      </c>
      <c r="I39" s="156" t="s">
        <v>772</v>
      </c>
      <c r="J39" s="156">
        <v>1</v>
      </c>
      <c r="K39" s="156">
        <v>22</v>
      </c>
      <c r="L39" s="96">
        <v>-40000</v>
      </c>
      <c r="M39" s="92" t="s">
        <v>2957</v>
      </c>
      <c r="N39" s="100">
        <v>44592</v>
      </c>
      <c r="O39" s="100">
        <v>44592</v>
      </c>
      <c r="P39" s="100">
        <v>44571</v>
      </c>
      <c r="Q39" s="92" t="s">
        <v>2958</v>
      </c>
      <c r="R39" s="92" t="s">
        <v>2958</v>
      </c>
      <c r="S39" s="92"/>
      <c r="T39" s="92">
        <v>0</v>
      </c>
      <c r="U39" s="92" t="s">
        <v>2959</v>
      </c>
      <c r="V39" s="92"/>
      <c r="W39" s="92"/>
      <c r="X39" s="92" t="s">
        <v>1251</v>
      </c>
      <c r="Y39" s="92"/>
      <c r="Z39" s="92" t="s">
        <v>606</v>
      </c>
      <c r="AA39" s="92" t="s">
        <v>770</v>
      </c>
      <c r="AB39" s="92" t="s">
        <v>2924</v>
      </c>
      <c r="AC39" s="92" t="s">
        <v>778</v>
      </c>
      <c r="AD39" s="92" t="s">
        <v>932</v>
      </c>
      <c r="AE39" s="92"/>
      <c r="AF39" s="92"/>
    </row>
    <row r="40" spans="1:32" ht="12.75" customHeight="1">
      <c r="A40" s="92" t="s">
        <v>620</v>
      </c>
      <c r="B40" s="92" t="s">
        <v>57</v>
      </c>
      <c r="C40" s="92" t="s">
        <v>922</v>
      </c>
      <c r="D40" s="92"/>
      <c r="E40" s="92" t="s">
        <v>49</v>
      </c>
      <c r="F40" s="92"/>
      <c r="G40" s="156">
        <v>9985510</v>
      </c>
      <c r="H40" s="156">
        <v>18852105</v>
      </c>
      <c r="I40" s="156" t="s">
        <v>772</v>
      </c>
      <c r="J40" s="156">
        <v>1</v>
      </c>
      <c r="K40" s="156">
        <v>22</v>
      </c>
      <c r="L40" s="96">
        <v>-478940.28</v>
      </c>
      <c r="M40" s="92" t="s">
        <v>2960</v>
      </c>
      <c r="N40" s="100">
        <v>44592</v>
      </c>
      <c r="O40" s="100">
        <v>44592</v>
      </c>
      <c r="P40" s="100">
        <v>44571</v>
      </c>
      <c r="Q40" s="92" t="s">
        <v>2961</v>
      </c>
      <c r="R40" s="92" t="s">
        <v>2961</v>
      </c>
      <c r="S40" s="92"/>
      <c r="T40" s="92">
        <v>0</v>
      </c>
      <c r="U40" s="92" t="s">
        <v>2962</v>
      </c>
      <c r="V40" s="92"/>
      <c r="W40" s="92"/>
      <c r="X40" s="92" t="s">
        <v>1251</v>
      </c>
      <c r="Y40" s="92"/>
      <c r="Z40" s="92" t="s">
        <v>606</v>
      </c>
      <c r="AA40" s="92" t="s">
        <v>770</v>
      </c>
      <c r="AB40" s="92" t="s">
        <v>2924</v>
      </c>
      <c r="AC40" s="92" t="s">
        <v>778</v>
      </c>
      <c r="AD40" s="92" t="s">
        <v>932</v>
      </c>
      <c r="AE40" s="92"/>
      <c r="AF40" s="92"/>
    </row>
    <row r="41" spans="1:32" ht="12.75" customHeight="1">
      <c r="A41" s="92" t="s">
        <v>620</v>
      </c>
      <c r="B41" s="92" t="s">
        <v>57</v>
      </c>
      <c r="C41" s="92" t="s">
        <v>922</v>
      </c>
      <c r="D41" s="92"/>
      <c r="E41" s="92" t="s">
        <v>49</v>
      </c>
      <c r="F41" s="92"/>
      <c r="G41" s="156">
        <v>9988812</v>
      </c>
      <c r="H41" s="156">
        <v>18853242</v>
      </c>
      <c r="I41" s="156" t="s">
        <v>772</v>
      </c>
      <c r="J41" s="156">
        <v>1</v>
      </c>
      <c r="K41" s="156">
        <v>22</v>
      </c>
      <c r="L41" s="96">
        <v>-700000</v>
      </c>
      <c r="M41" s="92" t="s">
        <v>2963</v>
      </c>
      <c r="N41" s="100">
        <v>44592</v>
      </c>
      <c r="O41" s="100">
        <v>44592</v>
      </c>
      <c r="P41" s="100">
        <v>44578</v>
      </c>
      <c r="Q41" s="92" t="s">
        <v>2964</v>
      </c>
      <c r="R41" s="92" t="s">
        <v>2964</v>
      </c>
      <c r="S41" s="92"/>
      <c r="T41" s="92">
        <v>0</v>
      </c>
      <c r="U41" s="92" t="s">
        <v>2965</v>
      </c>
      <c r="V41" s="92"/>
      <c r="W41" s="92"/>
      <c r="X41" s="92" t="s">
        <v>1251</v>
      </c>
      <c r="Y41" s="92"/>
      <c r="Z41" s="92" t="s">
        <v>606</v>
      </c>
      <c r="AA41" s="92" t="s">
        <v>770</v>
      </c>
      <c r="AB41" s="92" t="s">
        <v>2924</v>
      </c>
      <c r="AC41" s="92" t="s">
        <v>778</v>
      </c>
      <c r="AD41" s="92" t="s">
        <v>932</v>
      </c>
      <c r="AE41" s="92"/>
      <c r="AF41" s="92"/>
    </row>
    <row r="42" spans="1:32" ht="12.75" customHeight="1">
      <c r="A42" s="92" t="s">
        <v>620</v>
      </c>
      <c r="B42" s="92" t="s">
        <v>55</v>
      </c>
      <c r="C42" s="92" t="s">
        <v>922</v>
      </c>
      <c r="D42" s="92"/>
      <c r="E42" s="92" t="s">
        <v>49</v>
      </c>
      <c r="F42" s="92"/>
      <c r="G42" s="156">
        <v>9970701</v>
      </c>
      <c r="H42" s="156">
        <v>18848610</v>
      </c>
      <c r="I42" s="156" t="s">
        <v>772</v>
      </c>
      <c r="J42" s="156">
        <v>1</v>
      </c>
      <c r="K42" s="156">
        <v>22</v>
      </c>
      <c r="L42" s="96">
        <v>-511992</v>
      </c>
      <c r="M42" s="92" t="s">
        <v>2966</v>
      </c>
      <c r="N42" s="100">
        <v>44562</v>
      </c>
      <c r="O42" s="100">
        <v>44562</v>
      </c>
      <c r="P42" s="100">
        <v>44536</v>
      </c>
      <c r="Q42" s="92" t="s">
        <v>2967</v>
      </c>
      <c r="R42" s="92" t="s">
        <v>2967</v>
      </c>
      <c r="S42" s="92"/>
      <c r="T42" s="92">
        <v>0</v>
      </c>
      <c r="U42" s="92" t="s">
        <v>2968</v>
      </c>
      <c r="V42" s="92"/>
      <c r="W42" s="92"/>
      <c r="X42" s="92" t="s">
        <v>773</v>
      </c>
      <c r="Y42" s="92"/>
      <c r="Z42" s="92" t="s">
        <v>606</v>
      </c>
      <c r="AA42" s="92" t="s">
        <v>770</v>
      </c>
      <c r="AB42" s="92" t="s">
        <v>1252</v>
      </c>
      <c r="AC42" s="92" t="s">
        <v>1281</v>
      </c>
      <c r="AD42" s="92" t="s">
        <v>779</v>
      </c>
      <c r="AE42" s="92"/>
      <c r="AF42" s="92"/>
    </row>
    <row r="43" spans="1:32" ht="12.75" customHeight="1">
      <c r="A43" s="92" t="s">
        <v>620</v>
      </c>
      <c r="B43" s="92" t="s">
        <v>55</v>
      </c>
      <c r="C43" s="92" t="s">
        <v>922</v>
      </c>
      <c r="D43" s="92"/>
      <c r="E43" s="92" t="s">
        <v>49</v>
      </c>
      <c r="F43" s="92"/>
      <c r="G43" s="156">
        <v>9970720</v>
      </c>
      <c r="H43" s="156">
        <v>18848684</v>
      </c>
      <c r="I43" s="156" t="s">
        <v>772</v>
      </c>
      <c r="J43" s="156">
        <v>1</v>
      </c>
      <c r="K43" s="156">
        <v>22</v>
      </c>
      <c r="L43" s="96">
        <v>-244700</v>
      </c>
      <c r="M43" s="92" t="s">
        <v>2969</v>
      </c>
      <c r="N43" s="100">
        <v>44562</v>
      </c>
      <c r="O43" s="100">
        <v>44562</v>
      </c>
      <c r="P43" s="100">
        <v>44536</v>
      </c>
      <c r="Q43" s="92" t="s">
        <v>2970</v>
      </c>
      <c r="R43" s="92" t="s">
        <v>2970</v>
      </c>
      <c r="S43" s="92"/>
      <c r="T43" s="92">
        <v>0</v>
      </c>
      <c r="U43" s="92" t="s">
        <v>2971</v>
      </c>
      <c r="V43" s="92"/>
      <c r="W43" s="92"/>
      <c r="X43" s="92" t="s">
        <v>773</v>
      </c>
      <c r="Y43" s="92"/>
      <c r="Z43" s="92" t="s">
        <v>606</v>
      </c>
      <c r="AA43" s="92" t="s">
        <v>770</v>
      </c>
      <c r="AB43" s="92" t="s">
        <v>1252</v>
      </c>
      <c r="AC43" s="92" t="s">
        <v>1281</v>
      </c>
      <c r="AD43" s="92" t="s">
        <v>779</v>
      </c>
      <c r="AE43" s="92"/>
      <c r="AF43" s="92"/>
    </row>
    <row r="44" spans="1:32" ht="12.75" customHeight="1">
      <c r="A44" s="92" t="s">
        <v>620</v>
      </c>
      <c r="B44" s="92" t="s">
        <v>55</v>
      </c>
      <c r="C44" s="92" t="s">
        <v>922</v>
      </c>
      <c r="D44" s="92"/>
      <c r="E44" s="92" t="s">
        <v>49</v>
      </c>
      <c r="F44" s="92"/>
      <c r="G44" s="156">
        <v>9986658</v>
      </c>
      <c r="H44" s="156">
        <v>18852499</v>
      </c>
      <c r="I44" s="156" t="s">
        <v>772</v>
      </c>
      <c r="J44" s="156">
        <v>1</v>
      </c>
      <c r="K44" s="156">
        <v>22</v>
      </c>
      <c r="L44" s="96">
        <v>-25000</v>
      </c>
      <c r="M44" s="92" t="s">
        <v>2972</v>
      </c>
      <c r="N44" s="100">
        <v>44562</v>
      </c>
      <c r="O44" s="100">
        <v>44562</v>
      </c>
      <c r="P44" s="100">
        <v>44573</v>
      </c>
      <c r="Q44" s="92" t="s">
        <v>2973</v>
      </c>
      <c r="R44" s="92" t="s">
        <v>2973</v>
      </c>
      <c r="S44" s="92"/>
      <c r="T44" s="92">
        <v>0</v>
      </c>
      <c r="U44" s="92" t="s">
        <v>2974</v>
      </c>
      <c r="V44" s="92"/>
      <c r="W44" s="92"/>
      <c r="X44" s="92" t="s">
        <v>773</v>
      </c>
      <c r="Y44" s="92"/>
      <c r="Z44" s="92" t="s">
        <v>606</v>
      </c>
      <c r="AA44" s="92" t="s">
        <v>770</v>
      </c>
      <c r="AB44" s="92" t="s">
        <v>1252</v>
      </c>
      <c r="AC44" s="92" t="s">
        <v>1281</v>
      </c>
      <c r="AD44" s="92" t="s">
        <v>779</v>
      </c>
      <c r="AE44" s="92"/>
      <c r="AF44" s="92"/>
    </row>
    <row r="45" spans="1:32" ht="12.75" customHeight="1">
      <c r="A45" s="92" t="s">
        <v>620</v>
      </c>
      <c r="B45" s="92" t="s">
        <v>55</v>
      </c>
      <c r="C45" s="92" t="s">
        <v>922</v>
      </c>
      <c r="D45" s="92"/>
      <c r="E45" s="92" t="s">
        <v>49</v>
      </c>
      <c r="F45" s="92"/>
      <c r="G45" s="156">
        <v>9992179</v>
      </c>
      <c r="H45" s="156">
        <v>18855687</v>
      </c>
      <c r="I45" s="156" t="s">
        <v>772</v>
      </c>
      <c r="J45" s="156">
        <v>1</v>
      </c>
      <c r="K45" s="156">
        <v>22</v>
      </c>
      <c r="L45" s="96">
        <v>-54095</v>
      </c>
      <c r="M45" s="92" t="s">
        <v>2975</v>
      </c>
      <c r="N45" s="100">
        <v>44592</v>
      </c>
      <c r="O45" s="100">
        <v>44592</v>
      </c>
      <c r="P45" s="100">
        <v>44585</v>
      </c>
      <c r="Q45" s="92" t="s">
        <v>2976</v>
      </c>
      <c r="R45" s="92" t="s">
        <v>2977</v>
      </c>
      <c r="S45" s="92"/>
      <c r="T45" s="92">
        <v>0</v>
      </c>
      <c r="U45" s="92" t="s">
        <v>2978</v>
      </c>
      <c r="V45" s="92"/>
      <c r="W45" s="92"/>
      <c r="X45" s="92" t="s">
        <v>773</v>
      </c>
      <c r="Y45" s="92"/>
      <c r="Z45" s="92" t="s">
        <v>606</v>
      </c>
      <c r="AA45" s="92" t="s">
        <v>770</v>
      </c>
      <c r="AB45" s="92" t="s">
        <v>1252</v>
      </c>
      <c r="AC45" s="92" t="s">
        <v>1281</v>
      </c>
      <c r="AD45" s="92" t="s">
        <v>779</v>
      </c>
      <c r="AE45" s="92"/>
      <c r="AF45" s="92"/>
    </row>
    <row r="46" spans="1:32" ht="12.75" customHeight="1">
      <c r="A46" s="92" t="s">
        <v>620</v>
      </c>
      <c r="B46" s="92" t="s">
        <v>55</v>
      </c>
      <c r="C46" s="92" t="s">
        <v>922</v>
      </c>
      <c r="D46" s="92"/>
      <c r="E46" s="92" t="s">
        <v>49</v>
      </c>
      <c r="F46" s="92"/>
      <c r="G46" s="156">
        <v>9992179</v>
      </c>
      <c r="H46" s="156">
        <v>18855687</v>
      </c>
      <c r="I46" s="156" t="s">
        <v>772</v>
      </c>
      <c r="J46" s="156">
        <v>1</v>
      </c>
      <c r="K46" s="156">
        <v>22</v>
      </c>
      <c r="L46" s="96">
        <v>-15000</v>
      </c>
      <c r="M46" s="92" t="s">
        <v>1303</v>
      </c>
      <c r="N46" s="100">
        <v>44592</v>
      </c>
      <c r="O46" s="100">
        <v>44592</v>
      </c>
      <c r="P46" s="100">
        <v>44585</v>
      </c>
      <c r="Q46" s="92" t="s">
        <v>1527</v>
      </c>
      <c r="R46" s="92" t="s">
        <v>2977</v>
      </c>
      <c r="S46" s="92"/>
      <c r="T46" s="92">
        <v>0</v>
      </c>
      <c r="U46" s="92" t="s">
        <v>1529</v>
      </c>
      <c r="V46" s="92"/>
      <c r="W46" s="92"/>
      <c r="X46" s="92" t="s">
        <v>773</v>
      </c>
      <c r="Y46" s="92"/>
      <c r="Z46" s="92" t="s">
        <v>606</v>
      </c>
      <c r="AA46" s="92" t="s">
        <v>770</v>
      </c>
      <c r="AB46" s="92" t="s">
        <v>1252</v>
      </c>
      <c r="AC46" s="92" t="s">
        <v>1281</v>
      </c>
      <c r="AD46" s="92" t="s">
        <v>779</v>
      </c>
      <c r="AE46" s="92"/>
      <c r="AF46" s="92"/>
    </row>
    <row r="47" spans="1:32" ht="12.75" customHeight="1">
      <c r="A47" s="98" t="s">
        <v>620</v>
      </c>
      <c r="B47" s="98" t="s">
        <v>65</v>
      </c>
      <c r="C47" s="98" t="s">
        <v>922</v>
      </c>
      <c r="D47" s="98"/>
      <c r="E47" s="98" t="s">
        <v>49</v>
      </c>
      <c r="F47" s="98"/>
      <c r="G47" s="157">
        <v>9978900</v>
      </c>
      <c r="H47" s="157">
        <v>18850269</v>
      </c>
      <c r="I47" s="157" t="s">
        <v>772</v>
      </c>
      <c r="J47" s="157">
        <v>1</v>
      </c>
      <c r="K47" s="157">
        <v>22</v>
      </c>
      <c r="L47" s="187">
        <v>-50000</v>
      </c>
      <c r="M47" s="98" t="s">
        <v>2979</v>
      </c>
      <c r="N47" s="101">
        <v>44592</v>
      </c>
      <c r="O47" s="101">
        <v>44592</v>
      </c>
      <c r="P47" s="101">
        <v>44550</v>
      </c>
      <c r="Q47" s="98" t="s">
        <v>2980</v>
      </c>
      <c r="R47" s="98" t="s">
        <v>2981</v>
      </c>
      <c r="S47" s="98"/>
      <c r="T47" s="98">
        <v>0</v>
      </c>
      <c r="U47" s="98" t="s">
        <v>2982</v>
      </c>
      <c r="V47" s="98"/>
      <c r="W47" s="98"/>
      <c r="X47" s="98"/>
      <c r="Y47" s="98"/>
      <c r="Z47" s="98" t="s">
        <v>606</v>
      </c>
      <c r="AA47" s="98" t="s">
        <v>770</v>
      </c>
      <c r="AB47" s="98" t="s">
        <v>2310</v>
      </c>
      <c r="AC47" s="98" t="s">
        <v>1281</v>
      </c>
      <c r="AD47" s="98" t="s">
        <v>780</v>
      </c>
      <c r="AE47" s="98"/>
      <c r="AF47" s="98"/>
    </row>
    <row r="48" spans="1:32" ht="12.75" customHeight="1">
      <c r="A48" s="102" t="s">
        <v>602</v>
      </c>
      <c r="B48" s="102"/>
      <c r="C48" s="102"/>
      <c r="D48" s="102"/>
      <c r="E48" s="102"/>
      <c r="F48" s="102"/>
      <c r="G48" s="160"/>
      <c r="H48" s="160"/>
      <c r="I48" s="160"/>
      <c r="J48" s="160"/>
      <c r="K48" s="160"/>
      <c r="L48" s="186">
        <v>-1363258.88</v>
      </c>
      <c r="M48" s="102"/>
      <c r="N48" s="102"/>
      <c r="O48" s="102"/>
      <c r="P48" s="102"/>
      <c r="Q48" s="102"/>
      <c r="R48" s="102"/>
      <c r="S48" s="102"/>
      <c r="T48" s="102"/>
      <c r="U48" s="102"/>
      <c r="V48" s="102"/>
      <c r="W48" s="102"/>
      <c r="X48" s="102"/>
      <c r="Y48" s="102"/>
      <c r="Z48" s="102"/>
      <c r="AA48" s="102"/>
      <c r="AB48" s="102"/>
      <c r="AC48" s="102"/>
      <c r="AD48" s="102"/>
      <c r="AE48" s="102"/>
      <c r="AF48" s="102"/>
    </row>
  </sheetData>
  <pageMargins left="0.7" right="0.7" top="0.75" bottom="0.75" header="0.3" footer="0.3"/>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512C-C301-4852-AF8A-AE4A11AFEDB5}">
  <sheetPr codeName="Sheet5"/>
  <dimension ref="A1:AF614"/>
  <sheetViews>
    <sheetView topLeftCell="A529" workbookViewId="0">
      <selection activeCell="A544" sqref="A544:XFD544"/>
    </sheetView>
  </sheetViews>
  <sheetFormatPr defaultRowHeight="12.75"/>
  <cols>
    <col min="1" max="1" width="10.5703125" bestFit="1" customWidth="1"/>
    <col min="2" max="2" width="8.140625" bestFit="1" customWidth="1"/>
    <col min="3" max="3" width="7.140625" bestFit="1" customWidth="1"/>
    <col min="4" max="4" width="8.42578125" bestFit="1" customWidth="1"/>
    <col min="5" max="5" width="7.140625" bestFit="1" customWidth="1"/>
    <col min="6" max="6" width="6.7109375" bestFit="1" customWidth="1"/>
    <col min="7" max="7" width="9.28515625" style="10" bestFit="1" customWidth="1"/>
    <col min="8" max="8" width="10" style="10" bestFit="1" customWidth="1"/>
    <col min="9" max="9" width="9.140625" style="10"/>
    <col min="10" max="10" width="7.140625" style="10" bestFit="1" customWidth="1"/>
    <col min="11" max="11" width="12.85546875" style="10" customWidth="1"/>
    <col min="12" max="12" width="15.85546875" customWidth="1"/>
    <col min="13" max="14" width="9.28515625" bestFit="1" customWidth="1"/>
    <col min="15" max="15" width="26.85546875" bestFit="1" customWidth="1"/>
    <col min="16" max="16" width="28.28515625" bestFit="1" customWidth="1"/>
    <col min="17" max="17" width="27.140625" bestFit="1" customWidth="1"/>
    <col min="18" max="18" width="25.85546875" bestFit="1" customWidth="1"/>
    <col min="19" max="19" width="28.85546875" bestFit="1" customWidth="1"/>
    <col min="20" max="20" width="33.85546875" bestFit="1" customWidth="1"/>
    <col min="21" max="21" width="38" bestFit="1" customWidth="1"/>
    <col min="22" max="22" width="16.42578125" bestFit="1" customWidth="1"/>
    <col min="23" max="23" width="8.42578125" bestFit="1" customWidth="1"/>
    <col min="24" max="24" width="11" bestFit="1" customWidth="1"/>
    <col min="25" max="26" width="16.42578125" bestFit="1" customWidth="1"/>
    <col min="27" max="28" width="11" bestFit="1" customWidth="1"/>
    <col min="29" max="30" width="10.85546875" bestFit="1" customWidth="1"/>
    <col min="31" max="31" width="24.42578125" bestFit="1" customWidth="1"/>
    <col min="32" max="32" width="6.140625" bestFit="1" customWidth="1"/>
  </cols>
  <sheetData>
    <row r="1" spans="1:32" ht="31.5">
      <c r="A1" s="91" t="s">
        <v>746</v>
      </c>
      <c r="B1" s="91" t="s">
        <v>604</v>
      </c>
      <c r="C1" s="91" t="s">
        <v>747</v>
      </c>
      <c r="D1" s="91" t="s">
        <v>608</v>
      </c>
      <c r="E1" s="91" t="s">
        <v>749</v>
      </c>
      <c r="F1" s="91" t="s">
        <v>921</v>
      </c>
      <c r="G1" s="159" t="s">
        <v>748</v>
      </c>
      <c r="H1" s="159" t="s">
        <v>750</v>
      </c>
      <c r="I1" s="159" t="s">
        <v>751</v>
      </c>
      <c r="J1" s="159" t="s">
        <v>752</v>
      </c>
      <c r="K1" s="159" t="s">
        <v>753</v>
      </c>
      <c r="L1" s="91" t="s">
        <v>754</v>
      </c>
      <c r="M1" s="91" t="s">
        <v>918</v>
      </c>
      <c r="N1" s="91" t="s">
        <v>2</v>
      </c>
      <c r="O1" s="91" t="s">
        <v>755</v>
      </c>
      <c r="P1" s="91" t="s">
        <v>605</v>
      </c>
      <c r="Q1" s="91" t="s">
        <v>756</v>
      </c>
      <c r="R1" s="91" t="s">
        <v>946</v>
      </c>
      <c r="S1" s="91" t="s">
        <v>761</v>
      </c>
      <c r="T1" s="91" t="s">
        <v>760</v>
      </c>
      <c r="U1" s="91" t="s">
        <v>1361</v>
      </c>
      <c r="V1" s="91" t="s">
        <v>757</v>
      </c>
      <c r="W1" s="91" t="s">
        <v>758</v>
      </c>
      <c r="X1" s="91" t="s">
        <v>759</v>
      </c>
      <c r="Y1" s="91" t="s">
        <v>762</v>
      </c>
      <c r="Z1" s="91" t="s">
        <v>763</v>
      </c>
      <c r="AA1" s="91" t="s">
        <v>764</v>
      </c>
      <c r="AB1" s="91" t="s">
        <v>765</v>
      </c>
      <c r="AC1" s="91" t="s">
        <v>766</v>
      </c>
      <c r="AD1" s="91" t="s">
        <v>767</v>
      </c>
      <c r="AE1" s="91" t="s">
        <v>919</v>
      </c>
      <c r="AF1" s="91" t="s">
        <v>920</v>
      </c>
    </row>
    <row r="2" spans="1:32" ht="12.75" customHeight="1">
      <c r="A2" s="92" t="s">
        <v>703</v>
      </c>
      <c r="B2" s="92" t="s">
        <v>53</v>
      </c>
      <c r="C2" s="92" t="s">
        <v>922</v>
      </c>
      <c r="D2" s="92"/>
      <c r="E2" s="92" t="s">
        <v>768</v>
      </c>
      <c r="F2" s="92"/>
      <c r="G2" s="156">
        <v>9829502</v>
      </c>
      <c r="H2" s="156">
        <v>1380444</v>
      </c>
      <c r="I2" s="156" t="s">
        <v>769</v>
      </c>
      <c r="J2" s="156">
        <v>1</v>
      </c>
      <c r="K2" s="156">
        <v>21</v>
      </c>
      <c r="L2" s="96">
        <v>404090</v>
      </c>
      <c r="M2" s="100">
        <v>43913</v>
      </c>
      <c r="N2" s="100">
        <v>44221</v>
      </c>
      <c r="O2" s="100">
        <v>44221</v>
      </c>
      <c r="P2" s="92" t="s">
        <v>1317</v>
      </c>
      <c r="Q2" s="92" t="s">
        <v>655</v>
      </c>
      <c r="R2" s="92" t="s">
        <v>1318</v>
      </c>
      <c r="S2" s="92" t="s">
        <v>1412</v>
      </c>
      <c r="T2" s="92" t="s">
        <v>1413</v>
      </c>
      <c r="U2" s="92"/>
      <c r="V2" s="92"/>
      <c r="W2" s="92"/>
      <c r="X2" s="92"/>
      <c r="Y2" s="92" t="s">
        <v>606</v>
      </c>
      <c r="Z2" s="92" t="s">
        <v>770</v>
      </c>
      <c r="AA2" s="92" t="s">
        <v>771</v>
      </c>
      <c r="AB2" s="92" t="s">
        <v>771</v>
      </c>
      <c r="AC2" s="92" t="s">
        <v>912</v>
      </c>
      <c r="AD2" s="92" t="s">
        <v>1168</v>
      </c>
      <c r="AE2" s="92"/>
      <c r="AF2" s="92"/>
    </row>
    <row r="3" spans="1:32" ht="12.75" customHeight="1">
      <c r="A3" s="92" t="s">
        <v>703</v>
      </c>
      <c r="B3" s="92" t="s">
        <v>58</v>
      </c>
      <c r="C3" s="92" t="s">
        <v>922</v>
      </c>
      <c r="D3" s="92"/>
      <c r="E3" s="92" t="s">
        <v>768</v>
      </c>
      <c r="F3" s="92"/>
      <c r="G3" s="156">
        <v>9829501</v>
      </c>
      <c r="H3" s="156">
        <v>1380443</v>
      </c>
      <c r="I3" s="156" t="s">
        <v>769</v>
      </c>
      <c r="J3" s="156">
        <v>1</v>
      </c>
      <c r="K3" s="156">
        <v>21</v>
      </c>
      <c r="L3" s="96">
        <v>459425</v>
      </c>
      <c r="M3" s="100">
        <v>43913</v>
      </c>
      <c r="N3" s="100">
        <v>44221</v>
      </c>
      <c r="O3" s="100">
        <v>44221</v>
      </c>
      <c r="P3" s="92" t="s">
        <v>1319</v>
      </c>
      <c r="Q3" s="92" t="s">
        <v>655</v>
      </c>
      <c r="R3" s="92" t="s">
        <v>1320</v>
      </c>
      <c r="S3" s="92" t="s">
        <v>1412</v>
      </c>
      <c r="T3" s="92" t="s">
        <v>1414</v>
      </c>
      <c r="U3" s="92"/>
      <c r="V3" s="92"/>
      <c r="W3" s="92"/>
      <c r="X3" s="92"/>
      <c r="Y3" s="92" t="s">
        <v>606</v>
      </c>
      <c r="Z3" s="92" t="s">
        <v>770</v>
      </c>
      <c r="AA3" s="92" t="s">
        <v>771</v>
      </c>
      <c r="AB3" s="92" t="s">
        <v>771</v>
      </c>
      <c r="AC3" s="92" t="s">
        <v>929</v>
      </c>
      <c r="AD3" s="92" t="s">
        <v>1169</v>
      </c>
      <c r="AE3" s="92"/>
      <c r="AF3" s="92"/>
    </row>
    <row r="4" spans="1:32" ht="12.75" customHeight="1">
      <c r="A4" s="92" t="s">
        <v>703</v>
      </c>
      <c r="B4" s="92" t="s">
        <v>61</v>
      </c>
      <c r="C4" s="92" t="s">
        <v>922</v>
      </c>
      <c r="D4" s="92"/>
      <c r="E4" s="92" t="s">
        <v>768</v>
      </c>
      <c r="F4" s="92"/>
      <c r="G4" s="156">
        <v>9830723</v>
      </c>
      <c r="H4" s="156">
        <v>1380855</v>
      </c>
      <c r="I4" s="156" t="s">
        <v>769</v>
      </c>
      <c r="J4" s="156">
        <v>1</v>
      </c>
      <c r="K4" s="156">
        <v>21</v>
      </c>
      <c r="L4" s="96">
        <v>229480</v>
      </c>
      <c r="M4" s="100">
        <v>43913</v>
      </c>
      <c r="N4" s="100">
        <v>44223</v>
      </c>
      <c r="O4" s="100">
        <v>44224</v>
      </c>
      <c r="P4" s="92" t="s">
        <v>1321</v>
      </c>
      <c r="Q4" s="92" t="s">
        <v>1322</v>
      </c>
      <c r="R4" s="92" t="s">
        <v>1323</v>
      </c>
      <c r="S4" s="92" t="s">
        <v>1415</v>
      </c>
      <c r="T4" s="92" t="s">
        <v>1416</v>
      </c>
      <c r="U4" s="92"/>
      <c r="V4" s="92"/>
      <c r="W4" s="92"/>
      <c r="X4" s="92"/>
      <c r="Y4" s="92" t="s">
        <v>606</v>
      </c>
      <c r="Z4" s="92" t="s">
        <v>770</v>
      </c>
      <c r="AA4" s="92" t="s">
        <v>771</v>
      </c>
      <c r="AB4" s="92" t="s">
        <v>771</v>
      </c>
      <c r="AC4" s="92" t="s">
        <v>933</v>
      </c>
      <c r="AD4" s="92" t="s">
        <v>1123</v>
      </c>
      <c r="AE4" s="92"/>
      <c r="AF4" s="92"/>
    </row>
    <row r="5" spans="1:32" ht="12.75" customHeight="1">
      <c r="A5" s="92" t="s">
        <v>703</v>
      </c>
      <c r="B5" s="92" t="s">
        <v>61</v>
      </c>
      <c r="C5" s="92" t="s">
        <v>922</v>
      </c>
      <c r="D5" s="92"/>
      <c r="E5" s="92" t="s">
        <v>768</v>
      </c>
      <c r="F5" s="92"/>
      <c r="G5" s="156">
        <v>9830723</v>
      </c>
      <c r="H5" s="156">
        <v>1380855</v>
      </c>
      <c r="I5" s="156" t="s">
        <v>769</v>
      </c>
      <c r="J5" s="156">
        <v>1</v>
      </c>
      <c r="K5" s="156">
        <v>21</v>
      </c>
      <c r="L5" s="96">
        <v>70000</v>
      </c>
      <c r="M5" s="100">
        <v>43913</v>
      </c>
      <c r="N5" s="100">
        <v>44223</v>
      </c>
      <c r="O5" s="100">
        <v>44224</v>
      </c>
      <c r="P5" s="92" t="s">
        <v>1321</v>
      </c>
      <c r="Q5" s="92" t="s">
        <v>1322</v>
      </c>
      <c r="R5" s="92" t="s">
        <v>1323</v>
      </c>
      <c r="S5" s="92" t="s">
        <v>1415</v>
      </c>
      <c r="T5" s="92" t="s">
        <v>1416</v>
      </c>
      <c r="U5" s="92"/>
      <c r="V5" s="92"/>
      <c r="W5" s="92"/>
      <c r="X5" s="92"/>
      <c r="Y5" s="92" t="s">
        <v>606</v>
      </c>
      <c r="Z5" s="92" t="s">
        <v>770</v>
      </c>
      <c r="AA5" s="92" t="s">
        <v>771</v>
      </c>
      <c r="AB5" s="92" t="s">
        <v>771</v>
      </c>
      <c r="AC5" s="92" t="s">
        <v>933</v>
      </c>
      <c r="AD5" s="92" t="s">
        <v>1123</v>
      </c>
      <c r="AE5" s="92"/>
      <c r="AF5" s="92"/>
    </row>
    <row r="6" spans="1:32" ht="12.75" customHeight="1">
      <c r="A6" s="92" t="s">
        <v>703</v>
      </c>
      <c r="B6" s="92" t="s">
        <v>64</v>
      </c>
      <c r="C6" s="92" t="s">
        <v>922</v>
      </c>
      <c r="D6" s="92"/>
      <c r="E6" s="92" t="s">
        <v>768</v>
      </c>
      <c r="F6" s="92"/>
      <c r="G6" s="156">
        <v>9828848</v>
      </c>
      <c r="H6" s="156">
        <v>1380301</v>
      </c>
      <c r="I6" s="156" t="s">
        <v>769</v>
      </c>
      <c r="J6" s="156">
        <v>1</v>
      </c>
      <c r="K6" s="156">
        <v>21</v>
      </c>
      <c r="L6" s="96">
        <v>-33868.94</v>
      </c>
      <c r="M6" s="100">
        <v>44137</v>
      </c>
      <c r="N6" s="100">
        <v>44218</v>
      </c>
      <c r="O6" s="100">
        <v>44218</v>
      </c>
      <c r="P6" s="92" t="s">
        <v>774</v>
      </c>
      <c r="Q6" s="92" t="s">
        <v>663</v>
      </c>
      <c r="R6" s="92" t="s">
        <v>1324</v>
      </c>
      <c r="S6" s="92" t="s">
        <v>1366</v>
      </c>
      <c r="T6" s="92" t="s">
        <v>1417</v>
      </c>
      <c r="U6" s="92"/>
      <c r="V6" s="92"/>
      <c r="W6" s="92"/>
      <c r="X6" s="92"/>
      <c r="Y6" s="92" t="s">
        <v>606</v>
      </c>
      <c r="Z6" s="92" t="s">
        <v>770</v>
      </c>
      <c r="AA6" s="92" t="s">
        <v>771</v>
      </c>
      <c r="AB6" s="92" t="s">
        <v>771</v>
      </c>
      <c r="AC6" s="92" t="s">
        <v>785</v>
      </c>
      <c r="AD6" s="92" t="s">
        <v>1307</v>
      </c>
      <c r="AE6" s="92"/>
      <c r="AF6" s="92"/>
    </row>
    <row r="7" spans="1:32" ht="12.75" customHeight="1">
      <c r="A7" s="92" t="s">
        <v>703</v>
      </c>
      <c r="B7" s="92" t="s">
        <v>64</v>
      </c>
      <c r="C7" s="92" t="s">
        <v>922</v>
      </c>
      <c r="D7" s="92"/>
      <c r="E7" s="92" t="s">
        <v>768</v>
      </c>
      <c r="F7" s="92"/>
      <c r="G7" s="156">
        <v>9828848</v>
      </c>
      <c r="H7" s="156">
        <v>1380301</v>
      </c>
      <c r="I7" s="156" t="s">
        <v>769</v>
      </c>
      <c r="J7" s="156">
        <v>1</v>
      </c>
      <c r="K7" s="156">
        <v>21</v>
      </c>
      <c r="L7" s="96">
        <v>60000</v>
      </c>
      <c r="M7" s="100">
        <v>44137</v>
      </c>
      <c r="N7" s="100">
        <v>44218</v>
      </c>
      <c r="O7" s="100">
        <v>44218</v>
      </c>
      <c r="P7" s="92" t="s">
        <v>1325</v>
      </c>
      <c r="Q7" s="92" t="s">
        <v>663</v>
      </c>
      <c r="R7" s="92" t="s">
        <v>1324</v>
      </c>
      <c r="S7" s="92" t="s">
        <v>1366</v>
      </c>
      <c r="T7" s="92" t="s">
        <v>1417</v>
      </c>
      <c r="U7" s="92"/>
      <c r="V7" s="92"/>
      <c r="W7" s="92"/>
      <c r="X7" s="92"/>
      <c r="Y7" s="92" t="s">
        <v>606</v>
      </c>
      <c r="Z7" s="92" t="s">
        <v>770</v>
      </c>
      <c r="AA7" s="92" t="s">
        <v>771</v>
      </c>
      <c r="AB7" s="92" t="s">
        <v>771</v>
      </c>
      <c r="AC7" s="92" t="s">
        <v>785</v>
      </c>
      <c r="AD7" s="92" t="s">
        <v>1307</v>
      </c>
      <c r="AE7" s="92"/>
      <c r="AF7" s="92"/>
    </row>
    <row r="8" spans="1:32" ht="12.75" customHeight="1">
      <c r="A8" s="92" t="s">
        <v>846</v>
      </c>
      <c r="B8" s="92" t="s">
        <v>1154</v>
      </c>
      <c r="C8" s="92" t="s">
        <v>922</v>
      </c>
      <c r="D8" s="92"/>
      <c r="E8" s="92" t="s">
        <v>768</v>
      </c>
      <c r="F8" s="92"/>
      <c r="G8" s="156">
        <v>9823366</v>
      </c>
      <c r="H8" s="156">
        <v>1378345</v>
      </c>
      <c r="I8" s="156" t="s">
        <v>769</v>
      </c>
      <c r="J8" s="156">
        <v>1</v>
      </c>
      <c r="K8" s="156">
        <v>21</v>
      </c>
      <c r="L8" s="96">
        <v>56631</v>
      </c>
      <c r="M8" s="100">
        <v>44171</v>
      </c>
      <c r="N8" s="100">
        <v>44209</v>
      </c>
      <c r="O8" s="100">
        <v>44209</v>
      </c>
      <c r="P8" s="92" t="s">
        <v>1326</v>
      </c>
      <c r="Q8" s="92" t="s">
        <v>667</v>
      </c>
      <c r="R8" s="92" t="s">
        <v>1328</v>
      </c>
      <c r="S8" s="92" t="s">
        <v>1418</v>
      </c>
      <c r="T8" s="92" t="s">
        <v>1419</v>
      </c>
      <c r="U8" s="92"/>
      <c r="V8" s="92"/>
      <c r="W8" s="92"/>
      <c r="X8" s="92"/>
      <c r="Y8" s="92" t="s">
        <v>606</v>
      </c>
      <c r="Z8" s="92" t="s">
        <v>770</v>
      </c>
      <c r="AA8" s="92" t="s">
        <v>771</v>
      </c>
      <c r="AB8" s="92" t="s">
        <v>771</v>
      </c>
      <c r="AC8" s="92" t="s">
        <v>1155</v>
      </c>
      <c r="AD8" s="92" t="s">
        <v>1327</v>
      </c>
      <c r="AE8" s="92"/>
      <c r="AF8" s="92"/>
    </row>
    <row r="9" spans="1:32" ht="12.75" customHeight="1">
      <c r="A9" s="92" t="s">
        <v>846</v>
      </c>
      <c r="B9" s="92" t="s">
        <v>1154</v>
      </c>
      <c r="C9" s="92" t="s">
        <v>922</v>
      </c>
      <c r="D9" s="92"/>
      <c r="E9" s="92" t="s">
        <v>768</v>
      </c>
      <c r="F9" s="92"/>
      <c r="G9" s="156">
        <v>9823367</v>
      </c>
      <c r="H9" s="156">
        <v>1378346</v>
      </c>
      <c r="I9" s="156" t="s">
        <v>769</v>
      </c>
      <c r="J9" s="156">
        <v>1</v>
      </c>
      <c r="K9" s="156">
        <v>21</v>
      </c>
      <c r="L9" s="96">
        <v>115823</v>
      </c>
      <c r="M9" s="100">
        <v>44182</v>
      </c>
      <c r="N9" s="100">
        <v>44209</v>
      </c>
      <c r="O9" s="100">
        <v>44209</v>
      </c>
      <c r="P9" s="92" t="s">
        <v>1326</v>
      </c>
      <c r="Q9" s="92" t="s">
        <v>667</v>
      </c>
      <c r="R9" s="92" t="s">
        <v>1329</v>
      </c>
      <c r="S9" s="92" t="s">
        <v>1418</v>
      </c>
      <c r="T9" s="92" t="s">
        <v>1419</v>
      </c>
      <c r="U9" s="92"/>
      <c r="V9" s="92"/>
      <c r="W9" s="92"/>
      <c r="X9" s="92"/>
      <c r="Y9" s="92" t="s">
        <v>606</v>
      </c>
      <c r="Z9" s="92" t="s">
        <v>770</v>
      </c>
      <c r="AA9" s="92" t="s">
        <v>771</v>
      </c>
      <c r="AB9" s="92" t="s">
        <v>771</v>
      </c>
      <c r="AC9" s="92" t="s">
        <v>1155</v>
      </c>
      <c r="AD9" s="92" t="s">
        <v>1327</v>
      </c>
      <c r="AE9" s="92"/>
      <c r="AF9" s="92"/>
    </row>
    <row r="10" spans="1:32" ht="12.75" customHeight="1">
      <c r="A10" s="92" t="s">
        <v>846</v>
      </c>
      <c r="B10" s="92" t="s">
        <v>1154</v>
      </c>
      <c r="C10" s="92" t="s">
        <v>922</v>
      </c>
      <c r="D10" s="92"/>
      <c r="E10" s="92" t="s">
        <v>768</v>
      </c>
      <c r="F10" s="92"/>
      <c r="G10" s="156">
        <v>9823370</v>
      </c>
      <c r="H10" s="156">
        <v>1378348</v>
      </c>
      <c r="I10" s="156" t="s">
        <v>769</v>
      </c>
      <c r="J10" s="156">
        <v>1</v>
      </c>
      <c r="K10" s="156">
        <v>21</v>
      </c>
      <c r="L10" s="96">
        <v>115823</v>
      </c>
      <c r="M10" s="100">
        <v>44188</v>
      </c>
      <c r="N10" s="100">
        <v>44209</v>
      </c>
      <c r="O10" s="100">
        <v>44209</v>
      </c>
      <c r="P10" s="92" t="s">
        <v>1326</v>
      </c>
      <c r="Q10" s="92" t="s">
        <v>667</v>
      </c>
      <c r="R10" s="92" t="s">
        <v>1330</v>
      </c>
      <c r="S10" s="92" t="s">
        <v>1418</v>
      </c>
      <c r="T10" s="92" t="s">
        <v>1419</v>
      </c>
      <c r="U10" s="92"/>
      <c r="V10" s="92"/>
      <c r="W10" s="92"/>
      <c r="X10" s="92"/>
      <c r="Y10" s="92" t="s">
        <v>606</v>
      </c>
      <c r="Z10" s="92" t="s">
        <v>770</v>
      </c>
      <c r="AA10" s="92" t="s">
        <v>771</v>
      </c>
      <c r="AB10" s="92" t="s">
        <v>771</v>
      </c>
      <c r="AC10" s="92" t="s">
        <v>1155</v>
      </c>
      <c r="AD10" s="92" t="s">
        <v>1327</v>
      </c>
      <c r="AE10" s="92"/>
      <c r="AF10" s="92"/>
    </row>
    <row r="11" spans="1:32" ht="12.75" customHeight="1">
      <c r="A11" s="92" t="s">
        <v>846</v>
      </c>
      <c r="B11" s="92" t="s">
        <v>1154</v>
      </c>
      <c r="C11" s="92" t="s">
        <v>922</v>
      </c>
      <c r="D11" s="92"/>
      <c r="E11" s="92" t="s">
        <v>768</v>
      </c>
      <c r="F11" s="92"/>
      <c r="G11" s="156">
        <v>9829506</v>
      </c>
      <c r="H11" s="156">
        <v>1380448</v>
      </c>
      <c r="I11" s="156" t="s">
        <v>769</v>
      </c>
      <c r="J11" s="156">
        <v>1</v>
      </c>
      <c r="K11" s="156">
        <v>21</v>
      </c>
      <c r="L11" s="96">
        <v>25515</v>
      </c>
      <c r="M11" s="100">
        <v>44188</v>
      </c>
      <c r="N11" s="100">
        <v>44221</v>
      </c>
      <c r="O11" s="100">
        <v>44221</v>
      </c>
      <c r="P11" s="92" t="s">
        <v>1326</v>
      </c>
      <c r="Q11" s="92" t="s">
        <v>667</v>
      </c>
      <c r="R11" s="92" t="s">
        <v>1332</v>
      </c>
      <c r="S11" s="92" t="s">
        <v>1418</v>
      </c>
      <c r="T11" s="92" t="s">
        <v>1419</v>
      </c>
      <c r="U11" s="92"/>
      <c r="V11" s="92"/>
      <c r="W11" s="92"/>
      <c r="X11" s="92"/>
      <c r="Y11" s="92" t="s">
        <v>606</v>
      </c>
      <c r="Z11" s="92" t="s">
        <v>770</v>
      </c>
      <c r="AA11" s="92" t="s">
        <v>771</v>
      </c>
      <c r="AB11" s="92" t="s">
        <v>771</v>
      </c>
      <c r="AC11" s="92" t="s">
        <v>1155</v>
      </c>
      <c r="AD11" s="92" t="s">
        <v>1331</v>
      </c>
      <c r="AE11" s="92"/>
      <c r="AF11" s="92"/>
    </row>
    <row r="12" spans="1:32" ht="12.75" customHeight="1">
      <c r="A12" s="92" t="s">
        <v>846</v>
      </c>
      <c r="B12" s="92" t="s">
        <v>1154</v>
      </c>
      <c r="C12" s="92" t="s">
        <v>922</v>
      </c>
      <c r="D12" s="92"/>
      <c r="E12" s="92" t="s">
        <v>768</v>
      </c>
      <c r="F12" s="92"/>
      <c r="G12" s="156">
        <v>9829506</v>
      </c>
      <c r="H12" s="156">
        <v>1380448</v>
      </c>
      <c r="I12" s="156" t="s">
        <v>769</v>
      </c>
      <c r="J12" s="156">
        <v>1</v>
      </c>
      <c r="K12" s="156">
        <v>21</v>
      </c>
      <c r="L12" s="96">
        <v>90308</v>
      </c>
      <c r="M12" s="100">
        <v>44188</v>
      </c>
      <c r="N12" s="100">
        <v>44221</v>
      </c>
      <c r="O12" s="100">
        <v>44221</v>
      </c>
      <c r="P12" s="92" t="s">
        <v>1326</v>
      </c>
      <c r="Q12" s="92" t="s">
        <v>667</v>
      </c>
      <c r="R12" s="92" t="s">
        <v>1332</v>
      </c>
      <c r="S12" s="92" t="s">
        <v>1418</v>
      </c>
      <c r="T12" s="92" t="s">
        <v>1419</v>
      </c>
      <c r="U12" s="92"/>
      <c r="V12" s="92"/>
      <c r="W12" s="92"/>
      <c r="X12" s="92"/>
      <c r="Y12" s="92" t="s">
        <v>606</v>
      </c>
      <c r="Z12" s="92" t="s">
        <v>770</v>
      </c>
      <c r="AA12" s="92" t="s">
        <v>771</v>
      </c>
      <c r="AB12" s="92" t="s">
        <v>771</v>
      </c>
      <c r="AC12" s="92" t="s">
        <v>1155</v>
      </c>
      <c r="AD12" s="92" t="s">
        <v>1327</v>
      </c>
      <c r="AE12" s="92"/>
      <c r="AF12" s="92"/>
    </row>
    <row r="13" spans="1:32" ht="12.75" customHeight="1">
      <c r="A13" s="92" t="s">
        <v>846</v>
      </c>
      <c r="B13" s="92" t="s">
        <v>1154</v>
      </c>
      <c r="C13" s="92" t="s">
        <v>922</v>
      </c>
      <c r="D13" s="92"/>
      <c r="E13" s="92" t="s">
        <v>49</v>
      </c>
      <c r="F13" s="92"/>
      <c r="G13" s="156">
        <v>9832858</v>
      </c>
      <c r="H13" s="156">
        <v>17892090</v>
      </c>
      <c r="I13" s="156" t="s">
        <v>772</v>
      </c>
      <c r="J13" s="156">
        <v>1</v>
      </c>
      <c r="K13" s="156">
        <v>21</v>
      </c>
      <c r="L13" s="96">
        <v>-160215</v>
      </c>
      <c r="M13" s="100">
        <v>44227</v>
      </c>
      <c r="N13" s="100">
        <v>44227</v>
      </c>
      <c r="O13" s="100">
        <v>44229</v>
      </c>
      <c r="P13" s="92" t="s">
        <v>1333</v>
      </c>
      <c r="Q13" s="92" t="s">
        <v>1334</v>
      </c>
      <c r="R13" s="92"/>
      <c r="S13" s="92">
        <v>0</v>
      </c>
      <c r="T13" s="92" t="s">
        <v>1419</v>
      </c>
      <c r="U13" s="92"/>
      <c r="V13" s="92"/>
      <c r="W13" s="92" t="s">
        <v>773</v>
      </c>
      <c r="X13" s="92"/>
      <c r="Y13" s="92" t="s">
        <v>606</v>
      </c>
      <c r="Z13" s="92" t="s">
        <v>770</v>
      </c>
      <c r="AA13" s="92" t="s">
        <v>1041</v>
      </c>
      <c r="AB13" s="92" t="s">
        <v>778</v>
      </c>
      <c r="AC13" s="92" t="s">
        <v>1155</v>
      </c>
      <c r="AD13" s="92" t="s">
        <v>1331</v>
      </c>
      <c r="AE13" s="92"/>
      <c r="AF13" s="92"/>
    </row>
    <row r="14" spans="1:32" ht="12.75" customHeight="1">
      <c r="A14" s="92" t="s">
        <v>846</v>
      </c>
      <c r="B14" s="92" t="s">
        <v>1154</v>
      </c>
      <c r="C14" s="92" t="s">
        <v>922</v>
      </c>
      <c r="D14" s="92"/>
      <c r="E14" s="92" t="s">
        <v>49</v>
      </c>
      <c r="F14" s="92"/>
      <c r="G14" s="156">
        <v>9832858</v>
      </c>
      <c r="H14" s="156">
        <v>17892090</v>
      </c>
      <c r="I14" s="156" t="s">
        <v>772</v>
      </c>
      <c r="J14" s="156">
        <v>1</v>
      </c>
      <c r="K14" s="156">
        <v>21</v>
      </c>
      <c r="L14" s="96">
        <v>-378585</v>
      </c>
      <c r="M14" s="100">
        <v>44227</v>
      </c>
      <c r="N14" s="100">
        <v>44227</v>
      </c>
      <c r="O14" s="100">
        <v>44229</v>
      </c>
      <c r="P14" s="92" t="s">
        <v>1335</v>
      </c>
      <c r="Q14" s="92" t="s">
        <v>1334</v>
      </c>
      <c r="R14" s="92"/>
      <c r="S14" s="92">
        <v>0</v>
      </c>
      <c r="T14" s="92" t="s">
        <v>1419</v>
      </c>
      <c r="U14" s="92"/>
      <c r="V14" s="92"/>
      <c r="W14" s="92" t="s">
        <v>773</v>
      </c>
      <c r="X14" s="92"/>
      <c r="Y14" s="92" t="s">
        <v>606</v>
      </c>
      <c r="Z14" s="92" t="s">
        <v>770</v>
      </c>
      <c r="AA14" s="92" t="s">
        <v>1041</v>
      </c>
      <c r="AB14" s="92" t="s">
        <v>778</v>
      </c>
      <c r="AC14" s="92" t="s">
        <v>1155</v>
      </c>
      <c r="AD14" s="92" t="s">
        <v>1327</v>
      </c>
      <c r="AE14" s="92"/>
      <c r="AF14" s="92"/>
    </row>
    <row r="15" spans="1:32" ht="12.75" customHeight="1">
      <c r="A15" s="92" t="s">
        <v>846</v>
      </c>
      <c r="B15" s="92" t="s">
        <v>67</v>
      </c>
      <c r="C15" s="92" t="s">
        <v>922</v>
      </c>
      <c r="D15" s="92"/>
      <c r="E15" s="92" t="s">
        <v>768</v>
      </c>
      <c r="F15" s="92"/>
      <c r="G15" s="156">
        <v>9829562</v>
      </c>
      <c r="H15" s="156">
        <v>1380455</v>
      </c>
      <c r="I15" s="156" t="s">
        <v>769</v>
      </c>
      <c r="J15" s="156">
        <v>1</v>
      </c>
      <c r="K15" s="156">
        <v>21</v>
      </c>
      <c r="L15" s="96">
        <v>150000</v>
      </c>
      <c r="M15" s="100">
        <v>44001</v>
      </c>
      <c r="N15" s="100">
        <v>44221</v>
      </c>
      <c r="O15" s="100">
        <v>44221</v>
      </c>
      <c r="P15" s="92" t="s">
        <v>1336</v>
      </c>
      <c r="Q15" s="92" t="s">
        <v>1337</v>
      </c>
      <c r="R15" s="92" t="s">
        <v>1338</v>
      </c>
      <c r="S15" s="92" t="s">
        <v>1420</v>
      </c>
      <c r="T15" s="92" t="s">
        <v>1421</v>
      </c>
      <c r="U15" s="92"/>
      <c r="V15" s="92"/>
      <c r="W15" s="92"/>
      <c r="X15" s="92"/>
      <c r="Y15" s="92" t="s">
        <v>606</v>
      </c>
      <c r="Z15" s="92" t="s">
        <v>770</v>
      </c>
      <c r="AA15" s="92" t="s">
        <v>771</v>
      </c>
      <c r="AB15" s="92" t="s">
        <v>771</v>
      </c>
      <c r="AC15" s="92" t="s">
        <v>790</v>
      </c>
      <c r="AD15" s="92" t="s">
        <v>1074</v>
      </c>
      <c r="AE15" s="92"/>
      <c r="AF15" s="92"/>
    </row>
    <row r="16" spans="1:32" ht="12.75" customHeight="1">
      <c r="A16" s="92" t="s">
        <v>892</v>
      </c>
      <c r="B16" s="92" t="s">
        <v>52</v>
      </c>
      <c r="C16" s="92" t="s">
        <v>922</v>
      </c>
      <c r="D16" s="92"/>
      <c r="E16" s="92" t="s">
        <v>768</v>
      </c>
      <c r="F16" s="92"/>
      <c r="G16" s="156">
        <v>9818852</v>
      </c>
      <c r="H16" s="156">
        <v>1376226</v>
      </c>
      <c r="I16" s="156" t="s">
        <v>769</v>
      </c>
      <c r="J16" s="156">
        <v>1</v>
      </c>
      <c r="K16" s="156">
        <v>21</v>
      </c>
      <c r="L16" s="96">
        <v>-280159.78000000003</v>
      </c>
      <c r="M16" s="100">
        <v>44110</v>
      </c>
      <c r="N16" s="100">
        <v>44197</v>
      </c>
      <c r="O16" s="100">
        <v>44200</v>
      </c>
      <c r="P16" s="92" t="s">
        <v>774</v>
      </c>
      <c r="Q16" s="92" t="s">
        <v>1035</v>
      </c>
      <c r="R16" s="92" t="s">
        <v>1340</v>
      </c>
      <c r="S16" s="92" t="s">
        <v>1388</v>
      </c>
      <c r="T16" s="92" t="s">
        <v>1422</v>
      </c>
      <c r="U16" s="92"/>
      <c r="V16" s="92"/>
      <c r="W16" s="92"/>
      <c r="X16" s="92"/>
      <c r="Y16" s="92" t="s">
        <v>606</v>
      </c>
      <c r="Z16" s="92" t="s">
        <v>770</v>
      </c>
      <c r="AA16" s="92" t="s">
        <v>771</v>
      </c>
      <c r="AB16" s="92" t="s">
        <v>771</v>
      </c>
      <c r="AC16" s="92" t="s">
        <v>782</v>
      </c>
      <c r="AD16" s="92" t="s">
        <v>1339</v>
      </c>
      <c r="AE16" s="92"/>
      <c r="AF16" s="92"/>
    </row>
    <row r="17" spans="1:32" ht="12.75" customHeight="1">
      <c r="A17" s="92" t="s">
        <v>892</v>
      </c>
      <c r="B17" s="92" t="s">
        <v>52</v>
      </c>
      <c r="C17" s="92" t="s">
        <v>922</v>
      </c>
      <c r="D17" s="92"/>
      <c r="E17" s="92" t="s">
        <v>768</v>
      </c>
      <c r="F17" s="92"/>
      <c r="G17" s="156">
        <v>9818852</v>
      </c>
      <c r="H17" s="156">
        <v>1376226</v>
      </c>
      <c r="I17" s="156" t="s">
        <v>769</v>
      </c>
      <c r="J17" s="156">
        <v>1</v>
      </c>
      <c r="K17" s="156">
        <v>21</v>
      </c>
      <c r="L17" s="96">
        <v>176000</v>
      </c>
      <c r="M17" s="100">
        <v>44110</v>
      </c>
      <c r="N17" s="100">
        <v>44197</v>
      </c>
      <c r="O17" s="100">
        <v>44200</v>
      </c>
      <c r="P17" s="92" t="s">
        <v>1341</v>
      </c>
      <c r="Q17" s="92" t="s">
        <v>1035</v>
      </c>
      <c r="R17" s="92" t="s">
        <v>1340</v>
      </c>
      <c r="S17" s="92" t="s">
        <v>1388</v>
      </c>
      <c r="T17" s="92" t="s">
        <v>1422</v>
      </c>
      <c r="U17" s="92"/>
      <c r="V17" s="92"/>
      <c r="W17" s="92"/>
      <c r="X17" s="92"/>
      <c r="Y17" s="92" t="s">
        <v>606</v>
      </c>
      <c r="Z17" s="92" t="s">
        <v>770</v>
      </c>
      <c r="AA17" s="92" t="s">
        <v>771</v>
      </c>
      <c r="AB17" s="92" t="s">
        <v>771</v>
      </c>
      <c r="AC17" s="92" t="s">
        <v>782</v>
      </c>
      <c r="AD17" s="92" t="s">
        <v>1339</v>
      </c>
      <c r="AE17" s="92"/>
      <c r="AF17" s="92"/>
    </row>
    <row r="18" spans="1:32" ht="12.75" customHeight="1">
      <c r="A18" s="92" t="s">
        <v>892</v>
      </c>
      <c r="B18" s="92" t="s">
        <v>52</v>
      </c>
      <c r="C18" s="92" t="s">
        <v>922</v>
      </c>
      <c r="D18" s="92"/>
      <c r="E18" s="92" t="s">
        <v>768</v>
      </c>
      <c r="F18" s="92"/>
      <c r="G18" s="156">
        <v>9818852</v>
      </c>
      <c r="H18" s="156">
        <v>1376226</v>
      </c>
      <c r="I18" s="156" t="s">
        <v>769</v>
      </c>
      <c r="J18" s="156">
        <v>1</v>
      </c>
      <c r="K18" s="156">
        <v>21</v>
      </c>
      <c r="L18" s="96">
        <v>400000</v>
      </c>
      <c r="M18" s="100">
        <v>44110</v>
      </c>
      <c r="N18" s="100">
        <v>44197</v>
      </c>
      <c r="O18" s="100">
        <v>44200</v>
      </c>
      <c r="P18" s="92" t="s">
        <v>1342</v>
      </c>
      <c r="Q18" s="92" t="s">
        <v>1035</v>
      </c>
      <c r="R18" s="92" t="s">
        <v>1340</v>
      </c>
      <c r="S18" s="92" t="s">
        <v>1388</v>
      </c>
      <c r="T18" s="92" t="s">
        <v>1422</v>
      </c>
      <c r="U18" s="92"/>
      <c r="V18" s="92"/>
      <c r="W18" s="92"/>
      <c r="X18" s="92"/>
      <c r="Y18" s="92" t="s">
        <v>606</v>
      </c>
      <c r="Z18" s="92" t="s">
        <v>770</v>
      </c>
      <c r="AA18" s="92" t="s">
        <v>771</v>
      </c>
      <c r="AB18" s="92" t="s">
        <v>771</v>
      </c>
      <c r="AC18" s="92" t="s">
        <v>782</v>
      </c>
      <c r="AD18" s="92" t="s">
        <v>1339</v>
      </c>
      <c r="AE18" s="92"/>
      <c r="AF18" s="92"/>
    </row>
    <row r="19" spans="1:32" ht="12.75" customHeight="1">
      <c r="A19" s="92" t="s">
        <v>620</v>
      </c>
      <c r="B19" s="92" t="s">
        <v>71</v>
      </c>
      <c r="C19" s="92" t="s">
        <v>922</v>
      </c>
      <c r="D19" s="92"/>
      <c r="E19" s="92" t="s">
        <v>775</v>
      </c>
      <c r="F19" s="92"/>
      <c r="G19" s="156">
        <v>9820083</v>
      </c>
      <c r="H19" s="156">
        <v>3777783</v>
      </c>
      <c r="I19" s="156" t="s">
        <v>776</v>
      </c>
      <c r="J19" s="156">
        <v>1</v>
      </c>
      <c r="K19" s="156">
        <v>21</v>
      </c>
      <c r="L19" s="96">
        <v>26028.09</v>
      </c>
      <c r="M19" s="100">
        <v>44227</v>
      </c>
      <c r="N19" s="100">
        <v>44201</v>
      </c>
      <c r="O19" s="100">
        <v>44201</v>
      </c>
      <c r="P19" s="92" t="s">
        <v>777</v>
      </c>
      <c r="Q19" s="92" t="s">
        <v>1239</v>
      </c>
      <c r="R19" s="92"/>
      <c r="S19" s="92" t="s">
        <v>1243</v>
      </c>
      <c r="T19" s="92" t="s">
        <v>1423</v>
      </c>
      <c r="U19" s="92"/>
      <c r="V19" s="92"/>
      <c r="W19" s="92"/>
      <c r="X19" s="92"/>
      <c r="Y19" s="92" t="s">
        <v>606</v>
      </c>
      <c r="Z19" s="92" t="s">
        <v>770</v>
      </c>
      <c r="AA19" s="92" t="s">
        <v>778</v>
      </c>
      <c r="AB19" s="92" t="s">
        <v>778</v>
      </c>
      <c r="AC19" s="92" t="s">
        <v>910</v>
      </c>
      <c r="AD19" s="92"/>
      <c r="AE19" s="92"/>
      <c r="AF19" s="92"/>
    </row>
    <row r="20" spans="1:32" ht="12.75" customHeight="1">
      <c r="A20" s="92" t="s">
        <v>620</v>
      </c>
      <c r="B20" s="92" t="s">
        <v>71</v>
      </c>
      <c r="C20" s="92" t="s">
        <v>922</v>
      </c>
      <c r="D20" s="92"/>
      <c r="E20" s="92" t="s">
        <v>768</v>
      </c>
      <c r="F20" s="92"/>
      <c r="G20" s="156">
        <v>9830601</v>
      </c>
      <c r="H20" s="156">
        <v>1380854</v>
      </c>
      <c r="I20" s="156" t="s">
        <v>769</v>
      </c>
      <c r="J20" s="156">
        <v>1</v>
      </c>
      <c r="K20" s="156">
        <v>21</v>
      </c>
      <c r="L20" s="96">
        <v>545940</v>
      </c>
      <c r="M20" s="100">
        <v>43887</v>
      </c>
      <c r="N20" s="100">
        <v>44223</v>
      </c>
      <c r="O20" s="100">
        <v>44223</v>
      </c>
      <c r="P20" s="92" t="s">
        <v>1343</v>
      </c>
      <c r="Q20" s="92" t="s">
        <v>661</v>
      </c>
      <c r="R20" s="92" t="s">
        <v>1344</v>
      </c>
      <c r="S20" s="92" t="s">
        <v>1415</v>
      </c>
      <c r="T20" s="92" t="s">
        <v>1424</v>
      </c>
      <c r="U20" s="92"/>
      <c r="V20" s="92"/>
      <c r="W20" s="92"/>
      <c r="X20" s="92"/>
      <c r="Y20" s="92" t="s">
        <v>606</v>
      </c>
      <c r="Z20" s="92" t="s">
        <v>770</v>
      </c>
      <c r="AA20" s="92" t="s">
        <v>771</v>
      </c>
      <c r="AB20" s="92" t="s">
        <v>771</v>
      </c>
      <c r="AC20" s="92" t="s">
        <v>910</v>
      </c>
      <c r="AD20" s="92" t="s">
        <v>1114</v>
      </c>
      <c r="AE20" s="92"/>
      <c r="AF20" s="92"/>
    </row>
    <row r="21" spans="1:32" ht="12.75" customHeight="1">
      <c r="A21" s="92" t="s">
        <v>620</v>
      </c>
      <c r="B21" s="92" t="s">
        <v>65</v>
      </c>
      <c r="C21" s="92" t="s">
        <v>922</v>
      </c>
      <c r="D21" s="92"/>
      <c r="E21" s="92" t="s">
        <v>49</v>
      </c>
      <c r="F21" s="92"/>
      <c r="G21" s="156">
        <v>9824390</v>
      </c>
      <c r="H21" s="156">
        <v>17795737</v>
      </c>
      <c r="I21" s="156" t="s">
        <v>772</v>
      </c>
      <c r="J21" s="156">
        <v>1</v>
      </c>
      <c r="K21" s="156">
        <v>21</v>
      </c>
      <c r="L21" s="96">
        <v>-90000</v>
      </c>
      <c r="M21" s="100">
        <v>44210</v>
      </c>
      <c r="N21" s="100">
        <v>44210</v>
      </c>
      <c r="O21" s="100">
        <v>44210</v>
      </c>
      <c r="P21" s="92" t="s">
        <v>1345</v>
      </c>
      <c r="Q21" s="92" t="s">
        <v>1345</v>
      </c>
      <c r="R21" s="92"/>
      <c r="S21" s="92">
        <v>0</v>
      </c>
      <c r="T21" s="92" t="s">
        <v>1425</v>
      </c>
      <c r="U21" s="92"/>
      <c r="V21" s="92"/>
      <c r="W21" s="92"/>
      <c r="X21" s="92"/>
      <c r="Y21" s="92" t="s">
        <v>606</v>
      </c>
      <c r="Z21" s="92" t="s">
        <v>770</v>
      </c>
      <c r="AA21" s="92" t="s">
        <v>1346</v>
      </c>
      <c r="AB21" s="92" t="s">
        <v>1298</v>
      </c>
      <c r="AC21" s="92" t="s">
        <v>780</v>
      </c>
      <c r="AD21" s="92" t="s">
        <v>1347</v>
      </c>
      <c r="AE21" s="92"/>
      <c r="AF21" s="92"/>
    </row>
    <row r="22" spans="1:32" ht="12.75" customHeight="1">
      <c r="A22" s="92" t="s">
        <v>620</v>
      </c>
      <c r="B22" s="92" t="s">
        <v>65</v>
      </c>
      <c r="C22" s="92" t="s">
        <v>922</v>
      </c>
      <c r="D22" s="92"/>
      <c r="E22" s="92" t="s">
        <v>768</v>
      </c>
      <c r="F22" s="92"/>
      <c r="G22" s="156">
        <v>9824238</v>
      </c>
      <c r="H22" s="156">
        <v>1378652</v>
      </c>
      <c r="I22" s="156" t="s">
        <v>769</v>
      </c>
      <c r="J22" s="156">
        <v>1</v>
      </c>
      <c r="K22" s="156">
        <v>21</v>
      </c>
      <c r="L22" s="96">
        <v>45000</v>
      </c>
      <c r="M22" s="100">
        <v>44092</v>
      </c>
      <c r="N22" s="100">
        <v>44210</v>
      </c>
      <c r="O22" s="100">
        <v>44210</v>
      </c>
      <c r="P22" s="92" t="s">
        <v>1348</v>
      </c>
      <c r="Q22" s="92" t="s">
        <v>1349</v>
      </c>
      <c r="R22" s="92" t="s">
        <v>1350</v>
      </c>
      <c r="S22" s="92" t="s">
        <v>1426</v>
      </c>
      <c r="T22" s="92" t="s">
        <v>1425</v>
      </c>
      <c r="U22" s="92"/>
      <c r="V22" s="92"/>
      <c r="W22" s="92"/>
      <c r="X22" s="92"/>
      <c r="Y22" s="92" t="s">
        <v>606</v>
      </c>
      <c r="Z22" s="92" t="s">
        <v>770</v>
      </c>
      <c r="AA22" s="92" t="s">
        <v>771</v>
      </c>
      <c r="AB22" s="92" t="s">
        <v>771</v>
      </c>
      <c r="AC22" s="92" t="s">
        <v>780</v>
      </c>
      <c r="AD22" s="92" t="s">
        <v>1347</v>
      </c>
      <c r="AE22" s="92"/>
      <c r="AF22" s="92"/>
    </row>
    <row r="23" spans="1:32" ht="12.75" customHeight="1">
      <c r="A23" s="92" t="s">
        <v>620</v>
      </c>
      <c r="B23" s="92" t="s">
        <v>65</v>
      </c>
      <c r="C23" s="92" t="s">
        <v>922</v>
      </c>
      <c r="D23" s="92"/>
      <c r="E23" s="92" t="s">
        <v>768</v>
      </c>
      <c r="F23" s="92"/>
      <c r="G23" s="156">
        <v>9829503</v>
      </c>
      <c r="H23" s="156">
        <v>1380445</v>
      </c>
      <c r="I23" s="156" t="s">
        <v>769</v>
      </c>
      <c r="J23" s="156">
        <v>1</v>
      </c>
      <c r="K23" s="156">
        <v>21</v>
      </c>
      <c r="L23" s="96">
        <v>35000</v>
      </c>
      <c r="M23" s="100">
        <v>44120</v>
      </c>
      <c r="N23" s="100">
        <v>44221</v>
      </c>
      <c r="O23" s="100">
        <v>44221</v>
      </c>
      <c r="P23" s="92" t="s">
        <v>1351</v>
      </c>
      <c r="Q23" s="92" t="s">
        <v>1352</v>
      </c>
      <c r="R23" s="92" t="s">
        <v>1354</v>
      </c>
      <c r="S23" s="92" t="s">
        <v>1427</v>
      </c>
      <c r="T23" s="92" t="s">
        <v>1428</v>
      </c>
      <c r="U23" s="92"/>
      <c r="V23" s="92"/>
      <c r="W23" s="92"/>
      <c r="X23" s="92"/>
      <c r="Y23" s="92" t="s">
        <v>606</v>
      </c>
      <c r="Z23" s="92" t="s">
        <v>770</v>
      </c>
      <c r="AA23" s="92" t="s">
        <v>771</v>
      </c>
      <c r="AB23" s="92" t="s">
        <v>771</v>
      </c>
      <c r="AC23" s="92" t="s">
        <v>780</v>
      </c>
      <c r="AD23" s="92" t="s">
        <v>1353</v>
      </c>
      <c r="AE23" s="92"/>
      <c r="AF23" s="92"/>
    </row>
    <row r="24" spans="1:32" ht="12.75" customHeight="1">
      <c r="A24" s="92" t="s">
        <v>620</v>
      </c>
      <c r="B24" s="92" t="s">
        <v>65</v>
      </c>
      <c r="C24" s="92" t="s">
        <v>922</v>
      </c>
      <c r="D24" s="92"/>
      <c r="E24" s="92" t="s">
        <v>768</v>
      </c>
      <c r="F24" s="92"/>
      <c r="G24" s="156">
        <v>9829504</v>
      </c>
      <c r="H24" s="156">
        <v>1380446</v>
      </c>
      <c r="I24" s="156" t="s">
        <v>769</v>
      </c>
      <c r="J24" s="156">
        <v>1</v>
      </c>
      <c r="K24" s="156">
        <v>21</v>
      </c>
      <c r="L24" s="96">
        <v>-209812.5</v>
      </c>
      <c r="M24" s="100">
        <v>44183</v>
      </c>
      <c r="N24" s="100">
        <v>44221</v>
      </c>
      <c r="O24" s="100">
        <v>44221</v>
      </c>
      <c r="P24" s="92" t="s">
        <v>774</v>
      </c>
      <c r="Q24" s="92" t="s">
        <v>1038</v>
      </c>
      <c r="R24" s="92" t="s">
        <v>1355</v>
      </c>
      <c r="S24" s="92" t="s">
        <v>1099</v>
      </c>
      <c r="T24" s="92" t="s">
        <v>1429</v>
      </c>
      <c r="U24" s="92"/>
      <c r="V24" s="92"/>
      <c r="W24" s="92"/>
      <c r="X24" s="92"/>
      <c r="Y24" s="92" t="s">
        <v>606</v>
      </c>
      <c r="Z24" s="92" t="s">
        <v>770</v>
      </c>
      <c r="AA24" s="92" t="s">
        <v>771</v>
      </c>
      <c r="AB24" s="92" t="s">
        <v>771</v>
      </c>
      <c r="AC24" s="92" t="s">
        <v>780</v>
      </c>
      <c r="AD24" s="92" t="s">
        <v>1091</v>
      </c>
      <c r="AE24" s="92"/>
      <c r="AF24" s="92"/>
    </row>
    <row r="25" spans="1:32" ht="12.75" customHeight="1">
      <c r="A25" s="98" t="s">
        <v>620</v>
      </c>
      <c r="B25" s="98" t="s">
        <v>65</v>
      </c>
      <c r="C25" s="98" t="s">
        <v>922</v>
      </c>
      <c r="D25" s="98"/>
      <c r="E25" s="98" t="s">
        <v>768</v>
      </c>
      <c r="F25" s="98"/>
      <c r="G25" s="157">
        <v>9829504</v>
      </c>
      <c r="H25" s="157">
        <v>1380446</v>
      </c>
      <c r="I25" s="157" t="s">
        <v>769</v>
      </c>
      <c r="J25" s="156">
        <v>1</v>
      </c>
      <c r="K25" s="157">
        <v>21</v>
      </c>
      <c r="L25" s="187">
        <v>209812.5</v>
      </c>
      <c r="M25" s="101">
        <v>44183</v>
      </c>
      <c r="N25" s="101">
        <v>44221</v>
      </c>
      <c r="O25" s="101">
        <v>44221</v>
      </c>
      <c r="P25" s="98" t="s">
        <v>1356</v>
      </c>
      <c r="Q25" s="98" t="s">
        <v>1038</v>
      </c>
      <c r="R25" s="98" t="s">
        <v>1355</v>
      </c>
      <c r="S25" s="98" t="s">
        <v>1099</v>
      </c>
      <c r="T25" s="98" t="s">
        <v>1429</v>
      </c>
      <c r="U25" s="98"/>
      <c r="V25" s="98"/>
      <c r="W25" s="98"/>
      <c r="X25" s="98"/>
      <c r="Y25" s="98" t="s">
        <v>606</v>
      </c>
      <c r="Z25" s="98" t="s">
        <v>770</v>
      </c>
      <c r="AA25" s="98" t="s">
        <v>771</v>
      </c>
      <c r="AB25" s="98" t="s">
        <v>771</v>
      </c>
      <c r="AC25" s="98" t="s">
        <v>780</v>
      </c>
      <c r="AD25" s="98" t="s">
        <v>1091</v>
      </c>
      <c r="AE25" s="98"/>
      <c r="AF25" s="98"/>
    </row>
    <row r="26" spans="1:32" ht="12.75" customHeight="1">
      <c r="A26" s="102" t="s">
        <v>602</v>
      </c>
      <c r="B26" s="102"/>
      <c r="C26" s="102"/>
      <c r="D26" s="102"/>
      <c r="E26" s="102"/>
      <c r="F26" s="102"/>
      <c r="G26" s="160"/>
      <c r="H26" s="160"/>
      <c r="I26" s="160"/>
      <c r="J26" s="160"/>
      <c r="K26" s="160"/>
      <c r="L26" s="186">
        <v>2062234.37</v>
      </c>
      <c r="M26" s="102"/>
      <c r="N26" s="102"/>
      <c r="O26" s="102"/>
      <c r="P26" s="102"/>
      <c r="Q26" s="102"/>
      <c r="R26" s="102"/>
      <c r="S26" s="102"/>
      <c r="T26" s="102"/>
      <c r="U26" s="102"/>
      <c r="V26" s="102"/>
      <c r="W26" s="102"/>
      <c r="X26" s="102"/>
      <c r="Y26" s="102"/>
      <c r="Z26" s="102"/>
      <c r="AA26" s="102"/>
      <c r="AB26" s="102"/>
      <c r="AC26" s="102"/>
      <c r="AD26" s="102"/>
      <c r="AE26" s="102"/>
      <c r="AF26" s="102"/>
    </row>
    <row r="28" spans="1:32" ht="31.5">
      <c r="A28" s="91" t="s">
        <v>746</v>
      </c>
      <c r="B28" s="91" t="s">
        <v>604</v>
      </c>
      <c r="C28" s="91" t="s">
        <v>747</v>
      </c>
      <c r="D28" s="91" t="s">
        <v>608</v>
      </c>
      <c r="E28" s="91" t="s">
        <v>749</v>
      </c>
      <c r="F28" s="91" t="s">
        <v>921</v>
      </c>
      <c r="G28" s="159" t="s">
        <v>748</v>
      </c>
      <c r="H28" s="159" t="s">
        <v>750</v>
      </c>
      <c r="I28" s="159" t="s">
        <v>751</v>
      </c>
      <c r="J28" s="159" t="s">
        <v>752</v>
      </c>
      <c r="K28" s="159" t="s">
        <v>753</v>
      </c>
      <c r="L28" s="91" t="s">
        <v>754</v>
      </c>
      <c r="M28" s="91" t="s">
        <v>918</v>
      </c>
      <c r="N28" s="91" t="s">
        <v>2</v>
      </c>
      <c r="O28" s="91" t="s">
        <v>755</v>
      </c>
      <c r="P28" s="91" t="s">
        <v>605</v>
      </c>
      <c r="Q28" s="91" t="s">
        <v>756</v>
      </c>
      <c r="R28" s="91" t="s">
        <v>946</v>
      </c>
      <c r="S28" s="91" t="s">
        <v>761</v>
      </c>
      <c r="T28" s="91" t="s">
        <v>760</v>
      </c>
      <c r="U28" s="91" t="s">
        <v>1361</v>
      </c>
      <c r="V28" s="91" t="s">
        <v>757</v>
      </c>
      <c r="W28" s="91" t="s">
        <v>758</v>
      </c>
      <c r="X28" s="91" t="s">
        <v>759</v>
      </c>
      <c r="Y28" s="91" t="s">
        <v>762</v>
      </c>
      <c r="Z28" s="91" t="s">
        <v>763</v>
      </c>
      <c r="AA28" s="91" t="s">
        <v>764</v>
      </c>
      <c r="AB28" s="91" t="s">
        <v>765</v>
      </c>
      <c r="AC28" s="91" t="s">
        <v>766</v>
      </c>
      <c r="AD28" s="91" t="s">
        <v>767</v>
      </c>
      <c r="AE28" s="91" t="s">
        <v>919</v>
      </c>
      <c r="AF28" s="91" t="s">
        <v>920</v>
      </c>
    </row>
    <row r="29" spans="1:32" ht="12.75" customHeight="1">
      <c r="A29" s="92" t="s">
        <v>703</v>
      </c>
      <c r="B29" s="92" t="s">
        <v>56</v>
      </c>
      <c r="C29" s="92" t="s">
        <v>922</v>
      </c>
      <c r="D29" s="92"/>
      <c r="E29" s="92" t="s">
        <v>768</v>
      </c>
      <c r="F29" s="92"/>
      <c r="G29" s="156">
        <v>9838034</v>
      </c>
      <c r="H29" s="156">
        <v>1382865</v>
      </c>
      <c r="I29" s="156" t="s">
        <v>769</v>
      </c>
      <c r="J29" s="156">
        <v>2</v>
      </c>
      <c r="K29" s="156">
        <v>21</v>
      </c>
      <c r="L29" s="96">
        <v>562500</v>
      </c>
      <c r="M29" s="100">
        <v>44137</v>
      </c>
      <c r="N29" s="100">
        <v>44239</v>
      </c>
      <c r="O29" s="100">
        <v>44239</v>
      </c>
      <c r="P29" s="92" t="s">
        <v>1362</v>
      </c>
      <c r="Q29" s="92" t="s">
        <v>1230</v>
      </c>
      <c r="R29" s="92" t="s">
        <v>1363</v>
      </c>
      <c r="S29" s="92" t="s">
        <v>1364</v>
      </c>
      <c r="T29" s="92" t="s">
        <v>1365</v>
      </c>
      <c r="U29" s="92"/>
      <c r="V29" s="92"/>
      <c r="W29" s="92"/>
      <c r="X29" s="92"/>
      <c r="Y29" s="92" t="s">
        <v>606</v>
      </c>
      <c r="Z29" s="92" t="s">
        <v>770</v>
      </c>
      <c r="AA29" s="92" t="s">
        <v>771</v>
      </c>
      <c r="AB29" s="92" t="s">
        <v>771</v>
      </c>
      <c r="AC29" s="92" t="s">
        <v>787</v>
      </c>
      <c r="AD29" s="92" t="s">
        <v>1262</v>
      </c>
      <c r="AE29" s="92"/>
      <c r="AF29" s="92"/>
    </row>
    <row r="30" spans="1:32" ht="12.75" customHeight="1">
      <c r="A30" s="92" t="s">
        <v>703</v>
      </c>
      <c r="B30" s="92" t="s">
        <v>64</v>
      </c>
      <c r="C30" s="92" t="s">
        <v>922</v>
      </c>
      <c r="D30" s="92"/>
      <c r="E30" s="92" t="s">
        <v>775</v>
      </c>
      <c r="F30" s="92"/>
      <c r="G30" s="156">
        <v>9836946</v>
      </c>
      <c r="H30" s="156">
        <v>3794175</v>
      </c>
      <c r="I30" s="156" t="s">
        <v>776</v>
      </c>
      <c r="J30" s="156">
        <v>2</v>
      </c>
      <c r="K30" s="156">
        <v>21</v>
      </c>
      <c r="L30" s="96">
        <v>33868.94</v>
      </c>
      <c r="M30" s="100">
        <v>44255</v>
      </c>
      <c r="N30" s="100">
        <v>44238</v>
      </c>
      <c r="O30" s="100">
        <v>44238</v>
      </c>
      <c r="P30" s="92" t="s">
        <v>777</v>
      </c>
      <c r="Q30" s="92" t="s">
        <v>663</v>
      </c>
      <c r="R30" s="92"/>
      <c r="S30" s="92" t="s">
        <v>1366</v>
      </c>
      <c r="T30" s="92" t="s">
        <v>1367</v>
      </c>
      <c r="U30" s="92"/>
      <c r="V30" s="92"/>
      <c r="W30" s="92"/>
      <c r="X30" s="92"/>
      <c r="Y30" s="92" t="s">
        <v>606</v>
      </c>
      <c r="Z30" s="92" t="s">
        <v>770</v>
      </c>
      <c r="AA30" s="92" t="s">
        <v>778</v>
      </c>
      <c r="AB30" s="92" t="s">
        <v>778</v>
      </c>
      <c r="AC30" s="92" t="s">
        <v>785</v>
      </c>
      <c r="AD30" s="92"/>
      <c r="AE30" s="92"/>
      <c r="AF30" s="92"/>
    </row>
    <row r="31" spans="1:32" ht="12.75" customHeight="1">
      <c r="A31" s="92" t="s">
        <v>846</v>
      </c>
      <c r="B31" s="92" t="s">
        <v>47</v>
      </c>
      <c r="C31" s="92" t="s">
        <v>922</v>
      </c>
      <c r="D31" s="92"/>
      <c r="E31" s="92" t="s">
        <v>768</v>
      </c>
      <c r="F31" s="92"/>
      <c r="G31" s="156">
        <v>9832566</v>
      </c>
      <c r="H31" s="156">
        <v>1381107</v>
      </c>
      <c r="I31" s="156" t="s">
        <v>769</v>
      </c>
      <c r="J31" s="156">
        <v>2</v>
      </c>
      <c r="K31" s="156">
        <v>21</v>
      </c>
      <c r="L31" s="96">
        <v>105780</v>
      </c>
      <c r="M31" s="100">
        <v>44043</v>
      </c>
      <c r="N31" s="100">
        <v>44228</v>
      </c>
      <c r="O31" s="100">
        <v>44228</v>
      </c>
      <c r="P31" s="92" t="s">
        <v>1368</v>
      </c>
      <c r="Q31" s="92" t="s">
        <v>51</v>
      </c>
      <c r="R31" s="92" t="s">
        <v>1369</v>
      </c>
      <c r="S31" s="92" t="s">
        <v>1370</v>
      </c>
      <c r="T31" s="92" t="s">
        <v>1371</v>
      </c>
      <c r="U31" s="92"/>
      <c r="V31" s="92"/>
      <c r="W31" s="92"/>
      <c r="X31" s="92"/>
      <c r="Y31" s="92" t="s">
        <v>606</v>
      </c>
      <c r="Z31" s="92" t="s">
        <v>770</v>
      </c>
      <c r="AA31" s="92" t="s">
        <v>771</v>
      </c>
      <c r="AB31" s="92" t="s">
        <v>771</v>
      </c>
      <c r="AC31" s="92" t="s">
        <v>789</v>
      </c>
      <c r="AD31" s="92" t="s">
        <v>1372</v>
      </c>
      <c r="AE31" s="92"/>
      <c r="AF31" s="92"/>
    </row>
    <row r="32" spans="1:32" ht="12.75" customHeight="1">
      <c r="A32" s="92" t="s">
        <v>846</v>
      </c>
      <c r="B32" s="92" t="s">
        <v>47</v>
      </c>
      <c r="C32" s="92" t="s">
        <v>922</v>
      </c>
      <c r="D32" s="92"/>
      <c r="E32" s="92" t="s">
        <v>768</v>
      </c>
      <c r="F32" s="92"/>
      <c r="G32" s="156">
        <v>9832566</v>
      </c>
      <c r="H32" s="156">
        <v>1381107</v>
      </c>
      <c r="I32" s="156" t="s">
        <v>769</v>
      </c>
      <c r="J32" s="156">
        <v>2</v>
      </c>
      <c r="K32" s="156">
        <v>21</v>
      </c>
      <c r="L32" s="96">
        <v>35260</v>
      </c>
      <c r="M32" s="100">
        <v>44043</v>
      </c>
      <c r="N32" s="100">
        <v>44228</v>
      </c>
      <c r="O32" s="100">
        <v>44228</v>
      </c>
      <c r="P32" s="92" t="s">
        <v>1373</v>
      </c>
      <c r="Q32" s="92" t="s">
        <v>51</v>
      </c>
      <c r="R32" s="92" t="s">
        <v>1369</v>
      </c>
      <c r="S32" s="92" t="s">
        <v>1370</v>
      </c>
      <c r="T32" s="92" t="s">
        <v>1371</v>
      </c>
      <c r="U32" s="92"/>
      <c r="V32" s="92"/>
      <c r="W32" s="92"/>
      <c r="X32" s="92"/>
      <c r="Y32" s="92" t="s">
        <v>606</v>
      </c>
      <c r="Z32" s="92" t="s">
        <v>770</v>
      </c>
      <c r="AA32" s="92" t="s">
        <v>771</v>
      </c>
      <c r="AB32" s="92" t="s">
        <v>771</v>
      </c>
      <c r="AC32" s="92" t="s">
        <v>789</v>
      </c>
      <c r="AD32" s="92" t="s">
        <v>1372</v>
      </c>
      <c r="AE32" s="92"/>
      <c r="AF32" s="92"/>
    </row>
    <row r="33" spans="1:32" ht="12.75" customHeight="1">
      <c r="A33" s="92" t="s">
        <v>846</v>
      </c>
      <c r="B33" s="92" t="s">
        <v>47</v>
      </c>
      <c r="C33" s="92" t="s">
        <v>922</v>
      </c>
      <c r="D33" s="92"/>
      <c r="E33" s="92" t="s">
        <v>49</v>
      </c>
      <c r="F33" s="92"/>
      <c r="G33" s="156">
        <v>9837999</v>
      </c>
      <c r="H33" s="156">
        <v>17962304</v>
      </c>
      <c r="I33" s="156" t="s">
        <v>772</v>
      </c>
      <c r="J33" s="156">
        <v>2</v>
      </c>
      <c r="K33" s="156">
        <v>21</v>
      </c>
      <c r="L33" s="96">
        <v>-75000</v>
      </c>
      <c r="M33" s="100">
        <v>44239</v>
      </c>
      <c r="N33" s="100">
        <v>44239</v>
      </c>
      <c r="O33" s="100">
        <v>44239</v>
      </c>
      <c r="P33" s="92" t="s">
        <v>1374</v>
      </c>
      <c r="Q33" s="92" t="s">
        <v>1375</v>
      </c>
      <c r="R33" s="92"/>
      <c r="S33" s="92">
        <v>0</v>
      </c>
      <c r="T33" s="92" t="s">
        <v>1376</v>
      </c>
      <c r="U33" s="92"/>
      <c r="V33" s="92"/>
      <c r="W33" s="92"/>
      <c r="X33" s="92"/>
      <c r="Y33" s="92" t="s">
        <v>606</v>
      </c>
      <c r="Z33" s="92" t="s">
        <v>770</v>
      </c>
      <c r="AA33" s="92" t="s">
        <v>1280</v>
      </c>
      <c r="AB33" s="92" t="s">
        <v>778</v>
      </c>
      <c r="AC33" s="92" t="s">
        <v>789</v>
      </c>
      <c r="AD33" s="92" t="s">
        <v>1377</v>
      </c>
      <c r="AE33" s="92"/>
      <c r="AF33" s="92"/>
    </row>
    <row r="34" spans="1:32" ht="12.75" customHeight="1">
      <c r="A34" s="92" t="s">
        <v>846</v>
      </c>
      <c r="B34" s="92" t="s">
        <v>1154</v>
      </c>
      <c r="C34" s="92" t="s">
        <v>922</v>
      </c>
      <c r="D34" s="92"/>
      <c r="E34" s="92" t="s">
        <v>768</v>
      </c>
      <c r="F34" s="92"/>
      <c r="G34" s="156">
        <v>9831082</v>
      </c>
      <c r="H34" s="156">
        <v>1380914</v>
      </c>
      <c r="I34" s="156" t="s">
        <v>769</v>
      </c>
      <c r="J34" s="156">
        <v>2</v>
      </c>
      <c r="K34" s="156">
        <v>21</v>
      </c>
      <c r="L34" s="96">
        <v>12060</v>
      </c>
      <c r="M34" s="100">
        <v>44033</v>
      </c>
      <c r="N34" s="100">
        <v>44228</v>
      </c>
      <c r="O34" s="100">
        <v>44224</v>
      </c>
      <c r="P34" s="92" t="s">
        <v>1238</v>
      </c>
      <c r="Q34" s="92" t="s">
        <v>668</v>
      </c>
      <c r="R34" s="92" t="s">
        <v>1378</v>
      </c>
      <c r="S34" s="92" t="s">
        <v>668</v>
      </c>
      <c r="T34" s="92" t="s">
        <v>1379</v>
      </c>
      <c r="U34" s="92"/>
      <c r="V34" s="92"/>
      <c r="W34" s="92"/>
      <c r="X34" s="92"/>
      <c r="Y34" s="92" t="s">
        <v>606</v>
      </c>
      <c r="Z34" s="92" t="s">
        <v>770</v>
      </c>
      <c r="AA34" s="92" t="s">
        <v>771</v>
      </c>
      <c r="AB34" s="92" t="s">
        <v>771</v>
      </c>
      <c r="AC34" s="92" t="s">
        <v>1155</v>
      </c>
      <c r="AD34" s="92" t="s">
        <v>1200</v>
      </c>
      <c r="AE34" s="92"/>
      <c r="AF34" s="92"/>
    </row>
    <row r="35" spans="1:32" ht="12.75" customHeight="1">
      <c r="A35" s="92" t="s">
        <v>892</v>
      </c>
      <c r="B35" s="92" t="s">
        <v>50</v>
      </c>
      <c r="C35" s="92" t="s">
        <v>922</v>
      </c>
      <c r="D35" s="92"/>
      <c r="E35" s="92" t="s">
        <v>768</v>
      </c>
      <c r="F35" s="92"/>
      <c r="G35" s="156">
        <v>9833103</v>
      </c>
      <c r="H35" s="156">
        <v>1381139</v>
      </c>
      <c r="I35" s="156" t="s">
        <v>769</v>
      </c>
      <c r="J35" s="156">
        <v>2</v>
      </c>
      <c r="K35" s="156">
        <v>21</v>
      </c>
      <c r="L35" s="96">
        <v>154923.75</v>
      </c>
      <c r="M35" s="100">
        <v>44137</v>
      </c>
      <c r="N35" s="100">
        <v>44229</v>
      </c>
      <c r="O35" s="100">
        <v>44229</v>
      </c>
      <c r="P35" s="92" t="s">
        <v>1380</v>
      </c>
      <c r="Q35" s="92" t="s">
        <v>1381</v>
      </c>
      <c r="R35" s="92" t="s">
        <v>1382</v>
      </c>
      <c r="S35" s="92" t="s">
        <v>1383</v>
      </c>
      <c r="T35" s="92" t="s">
        <v>1384</v>
      </c>
      <c r="U35" s="92"/>
      <c r="V35" s="92"/>
      <c r="W35" s="92"/>
      <c r="X35" s="92"/>
      <c r="Y35" s="92" t="s">
        <v>606</v>
      </c>
      <c r="Z35" s="92" t="s">
        <v>770</v>
      </c>
      <c r="AA35" s="92" t="s">
        <v>771</v>
      </c>
      <c r="AB35" s="92" t="s">
        <v>771</v>
      </c>
      <c r="AC35" s="92" t="s">
        <v>925</v>
      </c>
      <c r="AD35" s="92" t="s">
        <v>1385</v>
      </c>
      <c r="AE35" s="92"/>
      <c r="AF35" s="92"/>
    </row>
    <row r="36" spans="1:32" ht="12.75" customHeight="1">
      <c r="A36" s="92" t="s">
        <v>892</v>
      </c>
      <c r="B36" s="92" t="s">
        <v>50</v>
      </c>
      <c r="C36" s="92" t="s">
        <v>922</v>
      </c>
      <c r="D36" s="92"/>
      <c r="E36" s="92" t="s">
        <v>768</v>
      </c>
      <c r="F36" s="92"/>
      <c r="G36" s="156">
        <v>9833103</v>
      </c>
      <c r="H36" s="156">
        <v>1381139</v>
      </c>
      <c r="I36" s="156" t="s">
        <v>769</v>
      </c>
      <c r="J36" s="156">
        <v>2</v>
      </c>
      <c r="K36" s="156">
        <v>21</v>
      </c>
      <c r="L36" s="96">
        <v>154923.75</v>
      </c>
      <c r="M36" s="100">
        <v>44137</v>
      </c>
      <c r="N36" s="100">
        <v>44229</v>
      </c>
      <c r="O36" s="100">
        <v>44229</v>
      </c>
      <c r="P36" s="92" t="s">
        <v>1386</v>
      </c>
      <c r="Q36" s="92" t="s">
        <v>1381</v>
      </c>
      <c r="R36" s="92" t="s">
        <v>1382</v>
      </c>
      <c r="S36" s="92" t="s">
        <v>1383</v>
      </c>
      <c r="T36" s="92" t="s">
        <v>1384</v>
      </c>
      <c r="U36" s="92"/>
      <c r="V36" s="92"/>
      <c r="W36" s="92"/>
      <c r="X36" s="92"/>
      <c r="Y36" s="92" t="s">
        <v>606</v>
      </c>
      <c r="Z36" s="92" t="s">
        <v>770</v>
      </c>
      <c r="AA36" s="92" t="s">
        <v>771</v>
      </c>
      <c r="AB36" s="92" t="s">
        <v>771</v>
      </c>
      <c r="AC36" s="92" t="s">
        <v>925</v>
      </c>
      <c r="AD36" s="92" t="s">
        <v>1385</v>
      </c>
      <c r="AE36" s="92"/>
      <c r="AF36" s="92"/>
    </row>
    <row r="37" spans="1:32" ht="12.75" customHeight="1">
      <c r="A37" s="92" t="s">
        <v>892</v>
      </c>
      <c r="B37" s="92" t="s">
        <v>50</v>
      </c>
      <c r="C37" s="92" t="s">
        <v>922</v>
      </c>
      <c r="D37" s="92"/>
      <c r="E37" s="92" t="s">
        <v>768</v>
      </c>
      <c r="F37" s="92"/>
      <c r="G37" s="156">
        <v>9833103</v>
      </c>
      <c r="H37" s="156">
        <v>1381139</v>
      </c>
      <c r="I37" s="156" t="s">
        <v>769</v>
      </c>
      <c r="J37" s="156">
        <v>2</v>
      </c>
      <c r="K37" s="156">
        <v>21</v>
      </c>
      <c r="L37" s="96">
        <v>154923.75</v>
      </c>
      <c r="M37" s="100">
        <v>44137</v>
      </c>
      <c r="N37" s="100">
        <v>44229</v>
      </c>
      <c r="O37" s="100">
        <v>44229</v>
      </c>
      <c r="P37" s="92" t="s">
        <v>1387</v>
      </c>
      <c r="Q37" s="92" t="s">
        <v>1381</v>
      </c>
      <c r="R37" s="92" t="s">
        <v>1382</v>
      </c>
      <c r="S37" s="92" t="s">
        <v>1383</v>
      </c>
      <c r="T37" s="92" t="s">
        <v>1384</v>
      </c>
      <c r="U37" s="92"/>
      <c r="V37" s="92"/>
      <c r="W37" s="92"/>
      <c r="X37" s="92"/>
      <c r="Y37" s="92" t="s">
        <v>606</v>
      </c>
      <c r="Z37" s="92" t="s">
        <v>770</v>
      </c>
      <c r="AA37" s="92" t="s">
        <v>771</v>
      </c>
      <c r="AB37" s="92" t="s">
        <v>771</v>
      </c>
      <c r="AC37" s="92" t="s">
        <v>925</v>
      </c>
      <c r="AD37" s="92" t="s">
        <v>1385</v>
      </c>
      <c r="AE37" s="92"/>
      <c r="AF37" s="92"/>
    </row>
    <row r="38" spans="1:32" ht="12.75" customHeight="1">
      <c r="A38" s="92" t="s">
        <v>892</v>
      </c>
      <c r="B38" s="92" t="s">
        <v>52</v>
      </c>
      <c r="C38" s="92" t="s">
        <v>922</v>
      </c>
      <c r="D38" s="92"/>
      <c r="E38" s="92" t="s">
        <v>775</v>
      </c>
      <c r="F38" s="92"/>
      <c r="G38" s="156">
        <v>9836948</v>
      </c>
      <c r="H38" s="156">
        <v>3794184</v>
      </c>
      <c r="I38" s="156" t="s">
        <v>776</v>
      </c>
      <c r="J38" s="156">
        <v>2</v>
      </c>
      <c r="K38" s="156">
        <v>21</v>
      </c>
      <c r="L38" s="96">
        <v>280159.78000000003</v>
      </c>
      <c r="M38" s="100">
        <v>44255</v>
      </c>
      <c r="N38" s="100">
        <v>44238</v>
      </c>
      <c r="O38" s="100">
        <v>44238</v>
      </c>
      <c r="P38" s="92" t="s">
        <v>777</v>
      </c>
      <c r="Q38" s="92" t="s">
        <v>1035</v>
      </c>
      <c r="R38" s="92"/>
      <c r="S38" s="92" t="s">
        <v>1388</v>
      </c>
      <c r="T38" s="92" t="s">
        <v>1389</v>
      </c>
      <c r="U38" s="92"/>
      <c r="V38" s="92"/>
      <c r="W38" s="92"/>
      <c r="X38" s="92"/>
      <c r="Y38" s="92" t="s">
        <v>606</v>
      </c>
      <c r="Z38" s="92" t="s">
        <v>770</v>
      </c>
      <c r="AA38" s="92" t="s">
        <v>778</v>
      </c>
      <c r="AB38" s="92" t="s">
        <v>778</v>
      </c>
      <c r="AC38" s="92" t="s">
        <v>782</v>
      </c>
      <c r="AD38" s="92"/>
      <c r="AE38" s="92"/>
      <c r="AF38" s="92"/>
    </row>
    <row r="39" spans="1:32" ht="12.75" customHeight="1">
      <c r="A39" s="92" t="s">
        <v>892</v>
      </c>
      <c r="B39" s="92" t="s">
        <v>1023</v>
      </c>
      <c r="C39" s="92" t="s">
        <v>922</v>
      </c>
      <c r="D39" s="92"/>
      <c r="E39" s="92" t="s">
        <v>49</v>
      </c>
      <c r="F39" s="92"/>
      <c r="G39" s="156">
        <v>9841804</v>
      </c>
      <c r="H39" s="156">
        <v>18042792</v>
      </c>
      <c r="I39" s="156" t="s">
        <v>772</v>
      </c>
      <c r="J39" s="156">
        <v>2</v>
      </c>
      <c r="K39" s="156">
        <v>21</v>
      </c>
      <c r="L39" s="96">
        <v>-125000</v>
      </c>
      <c r="M39" s="100">
        <v>44250</v>
      </c>
      <c r="N39" s="100">
        <v>44250</v>
      </c>
      <c r="O39" s="100">
        <v>44250</v>
      </c>
      <c r="P39" s="92" t="s">
        <v>1390</v>
      </c>
      <c r="Q39" s="92" t="s">
        <v>1391</v>
      </c>
      <c r="R39" s="92"/>
      <c r="S39" s="92">
        <v>0</v>
      </c>
      <c r="T39" s="92" t="s">
        <v>1392</v>
      </c>
      <c r="U39" s="92"/>
      <c r="V39" s="92"/>
      <c r="W39" s="92" t="s">
        <v>1251</v>
      </c>
      <c r="X39" s="92"/>
      <c r="Y39" s="92" t="s">
        <v>606</v>
      </c>
      <c r="Z39" s="92" t="s">
        <v>770</v>
      </c>
      <c r="AA39" s="92" t="s">
        <v>1294</v>
      </c>
      <c r="AB39" s="92" t="s">
        <v>778</v>
      </c>
      <c r="AC39" s="92" t="s">
        <v>1024</v>
      </c>
      <c r="AD39" s="92" t="s">
        <v>1297</v>
      </c>
      <c r="AE39" s="92"/>
      <c r="AF39" s="92"/>
    </row>
    <row r="40" spans="1:32" ht="12.75" customHeight="1">
      <c r="A40" s="92" t="s">
        <v>892</v>
      </c>
      <c r="B40" s="92" t="s">
        <v>66</v>
      </c>
      <c r="C40" s="92" t="s">
        <v>922</v>
      </c>
      <c r="D40" s="92"/>
      <c r="E40" s="92" t="s">
        <v>49</v>
      </c>
      <c r="F40" s="92"/>
      <c r="G40" s="156">
        <v>9841294</v>
      </c>
      <c r="H40" s="156">
        <v>18042497</v>
      </c>
      <c r="I40" s="156" t="s">
        <v>772</v>
      </c>
      <c r="J40" s="156">
        <v>2</v>
      </c>
      <c r="K40" s="156">
        <v>21</v>
      </c>
      <c r="L40" s="96">
        <v>-162000</v>
      </c>
      <c r="M40" s="100">
        <v>44255</v>
      </c>
      <c r="N40" s="100">
        <v>44255</v>
      </c>
      <c r="O40" s="100">
        <v>44249</v>
      </c>
      <c r="P40" s="92" t="s">
        <v>1393</v>
      </c>
      <c r="Q40" s="92" t="s">
        <v>1393</v>
      </c>
      <c r="R40" s="92"/>
      <c r="S40" s="92">
        <v>0</v>
      </c>
      <c r="T40" s="92" t="s">
        <v>1394</v>
      </c>
      <c r="U40" s="92"/>
      <c r="V40" s="92"/>
      <c r="W40" s="92"/>
      <c r="X40" s="92"/>
      <c r="Y40" s="92" t="s">
        <v>606</v>
      </c>
      <c r="Z40" s="92" t="s">
        <v>770</v>
      </c>
      <c r="AA40" s="92" t="s">
        <v>1285</v>
      </c>
      <c r="AB40" s="92" t="s">
        <v>778</v>
      </c>
      <c r="AC40" s="92" t="s">
        <v>783</v>
      </c>
      <c r="AD40" s="92" t="s">
        <v>1249</v>
      </c>
      <c r="AE40" s="92"/>
      <c r="AF40" s="92"/>
    </row>
    <row r="41" spans="1:32" ht="12.75" customHeight="1">
      <c r="A41" s="92" t="s">
        <v>892</v>
      </c>
      <c r="B41" s="92" t="s">
        <v>66</v>
      </c>
      <c r="C41" s="92" t="s">
        <v>922</v>
      </c>
      <c r="D41" s="92"/>
      <c r="E41" s="92" t="s">
        <v>49</v>
      </c>
      <c r="F41" s="92"/>
      <c r="G41" s="156">
        <v>9841344</v>
      </c>
      <c r="H41" s="156">
        <v>18042517</v>
      </c>
      <c r="I41" s="156" t="s">
        <v>772</v>
      </c>
      <c r="J41" s="156">
        <v>2</v>
      </c>
      <c r="K41" s="156">
        <v>21</v>
      </c>
      <c r="L41" s="96">
        <v>-92625</v>
      </c>
      <c r="M41" s="100">
        <v>44255</v>
      </c>
      <c r="N41" s="100">
        <v>44255</v>
      </c>
      <c r="O41" s="100">
        <v>44249</v>
      </c>
      <c r="P41" s="92" t="s">
        <v>1395</v>
      </c>
      <c r="Q41" s="92" t="s">
        <v>1395</v>
      </c>
      <c r="R41" s="92"/>
      <c r="S41" s="92">
        <v>0</v>
      </c>
      <c r="T41" s="92" t="s">
        <v>1396</v>
      </c>
      <c r="U41" s="92"/>
      <c r="V41" s="92"/>
      <c r="W41" s="92"/>
      <c r="X41" s="92"/>
      <c r="Y41" s="92" t="s">
        <v>606</v>
      </c>
      <c r="Z41" s="92" t="s">
        <v>770</v>
      </c>
      <c r="AA41" s="92" t="s">
        <v>1285</v>
      </c>
      <c r="AB41" s="92" t="s">
        <v>778</v>
      </c>
      <c r="AC41" s="92" t="s">
        <v>783</v>
      </c>
      <c r="AD41" s="92" t="s">
        <v>1397</v>
      </c>
      <c r="AE41" s="92"/>
      <c r="AF41" s="92"/>
    </row>
    <row r="42" spans="1:32" ht="12.75" customHeight="1">
      <c r="A42" s="92" t="s">
        <v>620</v>
      </c>
      <c r="B42" s="92" t="s">
        <v>68</v>
      </c>
      <c r="C42" s="92" t="s">
        <v>922</v>
      </c>
      <c r="D42" s="92"/>
      <c r="E42" s="92" t="s">
        <v>775</v>
      </c>
      <c r="F42" s="92"/>
      <c r="G42" s="156">
        <v>9834326</v>
      </c>
      <c r="H42" s="156">
        <v>3793514</v>
      </c>
      <c r="I42" s="156" t="s">
        <v>776</v>
      </c>
      <c r="J42" s="156">
        <v>2</v>
      </c>
      <c r="K42" s="156">
        <v>21</v>
      </c>
      <c r="L42" s="96">
        <v>635847.5</v>
      </c>
      <c r="M42" s="100">
        <v>44255</v>
      </c>
      <c r="N42" s="100">
        <v>44232</v>
      </c>
      <c r="O42" s="100">
        <v>44232</v>
      </c>
      <c r="P42" s="92" t="s">
        <v>777</v>
      </c>
      <c r="Q42" s="92" t="s">
        <v>1038</v>
      </c>
      <c r="R42" s="92"/>
      <c r="S42" s="92" t="s">
        <v>1099</v>
      </c>
      <c r="T42" s="92" t="s">
        <v>1398</v>
      </c>
      <c r="U42" s="92"/>
      <c r="V42" s="92"/>
      <c r="W42" s="92"/>
      <c r="X42" s="92"/>
      <c r="Y42" s="92" t="s">
        <v>606</v>
      </c>
      <c r="Z42" s="92" t="s">
        <v>770</v>
      </c>
      <c r="AA42" s="92" t="s">
        <v>778</v>
      </c>
      <c r="AB42" s="92" t="s">
        <v>778</v>
      </c>
      <c r="AC42" s="92" t="s">
        <v>784</v>
      </c>
      <c r="AD42" s="92"/>
      <c r="AE42" s="92"/>
      <c r="AF42" s="92"/>
    </row>
    <row r="43" spans="1:32" ht="12.75" customHeight="1">
      <c r="A43" s="92" t="s">
        <v>620</v>
      </c>
      <c r="B43" s="92" t="s">
        <v>57</v>
      </c>
      <c r="C43" s="92" t="s">
        <v>922</v>
      </c>
      <c r="D43" s="92"/>
      <c r="E43" s="92" t="s">
        <v>768</v>
      </c>
      <c r="F43" s="92"/>
      <c r="G43" s="156">
        <v>9833049</v>
      </c>
      <c r="H43" s="156">
        <v>1381133</v>
      </c>
      <c r="I43" s="156" t="s">
        <v>769</v>
      </c>
      <c r="J43" s="156">
        <v>2</v>
      </c>
      <c r="K43" s="156">
        <v>21</v>
      </c>
      <c r="L43" s="96">
        <v>50000</v>
      </c>
      <c r="M43" s="100">
        <v>44183</v>
      </c>
      <c r="N43" s="100">
        <v>44229</v>
      </c>
      <c r="O43" s="100">
        <v>44229</v>
      </c>
      <c r="P43" s="92" t="s">
        <v>1399</v>
      </c>
      <c r="Q43" s="92" t="s">
        <v>816</v>
      </c>
      <c r="R43" s="92" t="s">
        <v>1400</v>
      </c>
      <c r="S43" s="92" t="s">
        <v>1401</v>
      </c>
      <c r="T43" s="92" t="s">
        <v>1402</v>
      </c>
      <c r="U43" s="92"/>
      <c r="V43" s="92"/>
      <c r="W43" s="92"/>
      <c r="X43" s="92"/>
      <c r="Y43" s="92" t="s">
        <v>606</v>
      </c>
      <c r="Z43" s="92" t="s">
        <v>770</v>
      </c>
      <c r="AA43" s="92" t="s">
        <v>771</v>
      </c>
      <c r="AB43" s="92" t="s">
        <v>771</v>
      </c>
      <c r="AC43" s="92" t="s">
        <v>932</v>
      </c>
      <c r="AD43" s="92" t="s">
        <v>1403</v>
      </c>
      <c r="AE43" s="92"/>
      <c r="AF43" s="92"/>
    </row>
    <row r="44" spans="1:32" ht="12.75" customHeight="1">
      <c r="A44" s="92" t="s">
        <v>620</v>
      </c>
      <c r="B44" s="92" t="s">
        <v>57</v>
      </c>
      <c r="C44" s="92" t="s">
        <v>922</v>
      </c>
      <c r="D44" s="92"/>
      <c r="E44" s="92" t="s">
        <v>49</v>
      </c>
      <c r="F44" s="92"/>
      <c r="G44" s="156">
        <v>9838041</v>
      </c>
      <c r="H44" s="156">
        <v>17963930</v>
      </c>
      <c r="I44" s="156" t="s">
        <v>772</v>
      </c>
      <c r="J44" s="156">
        <v>2</v>
      </c>
      <c r="K44" s="156">
        <v>21</v>
      </c>
      <c r="L44" s="96">
        <v>-50000</v>
      </c>
      <c r="M44" s="100">
        <v>44255</v>
      </c>
      <c r="N44" s="100">
        <v>44255</v>
      </c>
      <c r="O44" s="100">
        <v>44239</v>
      </c>
      <c r="P44" s="92" t="s">
        <v>1404</v>
      </c>
      <c r="Q44" s="92" t="s">
        <v>1391</v>
      </c>
      <c r="R44" s="92"/>
      <c r="S44" s="92">
        <v>0</v>
      </c>
      <c r="T44" s="92" t="s">
        <v>1402</v>
      </c>
      <c r="U44" s="92"/>
      <c r="V44" s="92"/>
      <c r="W44" s="92" t="s">
        <v>1251</v>
      </c>
      <c r="X44" s="92"/>
      <c r="Y44" s="92" t="s">
        <v>606</v>
      </c>
      <c r="Z44" s="92" t="s">
        <v>770</v>
      </c>
      <c r="AA44" s="92" t="s">
        <v>1294</v>
      </c>
      <c r="AB44" s="92" t="s">
        <v>778</v>
      </c>
      <c r="AC44" s="92" t="s">
        <v>932</v>
      </c>
      <c r="AD44" s="92" t="s">
        <v>1403</v>
      </c>
      <c r="AE44" s="92"/>
      <c r="AF44" s="92"/>
    </row>
    <row r="45" spans="1:32" ht="12.75" customHeight="1">
      <c r="A45" s="92" t="s">
        <v>620</v>
      </c>
      <c r="B45" s="92" t="s">
        <v>57</v>
      </c>
      <c r="C45" s="92" t="s">
        <v>922</v>
      </c>
      <c r="D45" s="92"/>
      <c r="E45" s="92" t="s">
        <v>49</v>
      </c>
      <c r="F45" s="92"/>
      <c r="G45" s="156">
        <v>9838041</v>
      </c>
      <c r="H45" s="156">
        <v>17963930</v>
      </c>
      <c r="I45" s="156" t="s">
        <v>772</v>
      </c>
      <c r="J45" s="156">
        <v>2</v>
      </c>
      <c r="K45" s="156">
        <v>21</v>
      </c>
      <c r="L45" s="96">
        <v>-182000</v>
      </c>
      <c r="M45" s="100">
        <v>44255</v>
      </c>
      <c r="N45" s="100">
        <v>44255</v>
      </c>
      <c r="O45" s="100">
        <v>44239</v>
      </c>
      <c r="P45" s="92" t="s">
        <v>1404</v>
      </c>
      <c r="Q45" s="92" t="s">
        <v>1391</v>
      </c>
      <c r="R45" s="92"/>
      <c r="S45" s="92">
        <v>0</v>
      </c>
      <c r="T45" s="92" t="s">
        <v>1402</v>
      </c>
      <c r="U45" s="92"/>
      <c r="V45" s="92"/>
      <c r="W45" s="92" t="s">
        <v>1251</v>
      </c>
      <c r="X45" s="92"/>
      <c r="Y45" s="92" t="s">
        <v>606</v>
      </c>
      <c r="Z45" s="92" t="s">
        <v>770</v>
      </c>
      <c r="AA45" s="92" t="s">
        <v>1294</v>
      </c>
      <c r="AB45" s="92" t="s">
        <v>778</v>
      </c>
      <c r="AC45" s="92" t="s">
        <v>932</v>
      </c>
      <c r="AD45" s="92" t="s">
        <v>1403</v>
      </c>
      <c r="AE45" s="92"/>
      <c r="AF45" s="92"/>
    </row>
    <row r="46" spans="1:32" ht="12.75" customHeight="1">
      <c r="A46" s="92" t="s">
        <v>620</v>
      </c>
      <c r="B46" s="92" t="s">
        <v>60</v>
      </c>
      <c r="C46" s="92" t="s">
        <v>922</v>
      </c>
      <c r="D46" s="92"/>
      <c r="E46" s="92" t="s">
        <v>768</v>
      </c>
      <c r="F46" s="92"/>
      <c r="G46" s="156">
        <v>9835030</v>
      </c>
      <c r="H46" s="156">
        <v>1381589</v>
      </c>
      <c r="I46" s="156" t="s">
        <v>769</v>
      </c>
      <c r="J46" s="156">
        <v>2</v>
      </c>
      <c r="K46" s="156">
        <v>21</v>
      </c>
      <c r="L46" s="96">
        <v>-9538.26</v>
      </c>
      <c r="M46" s="100">
        <v>44029</v>
      </c>
      <c r="N46" s="100">
        <v>44235</v>
      </c>
      <c r="O46" s="100">
        <v>44235</v>
      </c>
      <c r="P46" s="92" t="s">
        <v>1405</v>
      </c>
      <c r="Q46" s="92" t="s">
        <v>1406</v>
      </c>
      <c r="R46" s="92" t="s">
        <v>1407</v>
      </c>
      <c r="S46" s="92" t="s">
        <v>1408</v>
      </c>
      <c r="T46" s="92" t="s">
        <v>1409</v>
      </c>
      <c r="U46" s="92"/>
      <c r="V46" s="92"/>
      <c r="W46" s="92"/>
      <c r="X46" s="92"/>
      <c r="Y46" s="92" t="s">
        <v>606</v>
      </c>
      <c r="Z46" s="92" t="s">
        <v>770</v>
      </c>
      <c r="AA46" s="92" t="s">
        <v>771</v>
      </c>
      <c r="AB46" s="92" t="s">
        <v>771</v>
      </c>
      <c r="AC46" s="92" t="s">
        <v>913</v>
      </c>
      <c r="AD46" s="92" t="s">
        <v>1065</v>
      </c>
      <c r="AE46" s="92"/>
      <c r="AF46" s="92"/>
    </row>
    <row r="47" spans="1:32" ht="12.75" customHeight="1">
      <c r="A47" s="92" t="s">
        <v>620</v>
      </c>
      <c r="B47" s="92" t="s">
        <v>60</v>
      </c>
      <c r="C47" s="92" t="s">
        <v>922</v>
      </c>
      <c r="D47" s="92"/>
      <c r="E47" s="92" t="s">
        <v>768</v>
      </c>
      <c r="F47" s="92"/>
      <c r="G47" s="156">
        <v>9835030</v>
      </c>
      <c r="H47" s="156">
        <v>1381589</v>
      </c>
      <c r="I47" s="156" t="s">
        <v>769</v>
      </c>
      <c r="J47" s="156">
        <v>2</v>
      </c>
      <c r="K47" s="156">
        <v>21</v>
      </c>
      <c r="L47" s="96">
        <v>142425</v>
      </c>
      <c r="M47" s="100">
        <v>44029</v>
      </c>
      <c r="N47" s="100">
        <v>44235</v>
      </c>
      <c r="O47" s="100">
        <v>44235</v>
      </c>
      <c r="P47" s="92" t="s">
        <v>1410</v>
      </c>
      <c r="Q47" s="92" t="s">
        <v>1406</v>
      </c>
      <c r="R47" s="92" t="s">
        <v>1407</v>
      </c>
      <c r="S47" s="92" t="s">
        <v>1408</v>
      </c>
      <c r="T47" s="92" t="s">
        <v>1409</v>
      </c>
      <c r="U47" s="92"/>
      <c r="V47" s="92"/>
      <c r="W47" s="92"/>
      <c r="X47" s="92"/>
      <c r="Y47" s="92" t="s">
        <v>606</v>
      </c>
      <c r="Z47" s="92" t="s">
        <v>770</v>
      </c>
      <c r="AA47" s="92" t="s">
        <v>771</v>
      </c>
      <c r="AB47" s="92" t="s">
        <v>771</v>
      </c>
      <c r="AC47" s="92" t="s">
        <v>913</v>
      </c>
      <c r="AD47" s="92" t="s">
        <v>1065</v>
      </c>
      <c r="AE47" s="92"/>
      <c r="AF47" s="92"/>
    </row>
    <row r="48" spans="1:32" ht="12.75" customHeight="1">
      <c r="A48" s="98" t="s">
        <v>620</v>
      </c>
      <c r="B48" s="98" t="s">
        <v>60</v>
      </c>
      <c r="C48" s="98" t="s">
        <v>922</v>
      </c>
      <c r="D48" s="98"/>
      <c r="E48" s="98" t="s">
        <v>775</v>
      </c>
      <c r="F48" s="98"/>
      <c r="G48" s="157">
        <v>9836945</v>
      </c>
      <c r="H48" s="157">
        <v>3794166</v>
      </c>
      <c r="I48" s="157" t="s">
        <v>776</v>
      </c>
      <c r="J48" s="157">
        <v>2</v>
      </c>
      <c r="K48" s="157">
        <v>21</v>
      </c>
      <c r="L48" s="187">
        <v>9538.26</v>
      </c>
      <c r="M48" s="101">
        <v>44255</v>
      </c>
      <c r="N48" s="101">
        <v>44238</v>
      </c>
      <c r="O48" s="101">
        <v>44238</v>
      </c>
      <c r="P48" s="98" t="s">
        <v>777</v>
      </c>
      <c r="Q48" s="98" t="s">
        <v>1406</v>
      </c>
      <c r="R48" s="98"/>
      <c r="S48" s="98" t="s">
        <v>1408</v>
      </c>
      <c r="T48" s="98" t="s">
        <v>1411</v>
      </c>
      <c r="U48" s="98"/>
      <c r="V48" s="98"/>
      <c r="W48" s="98"/>
      <c r="X48" s="98"/>
      <c r="Y48" s="98" t="s">
        <v>606</v>
      </c>
      <c r="Z48" s="98" t="s">
        <v>770</v>
      </c>
      <c r="AA48" s="98" t="s">
        <v>778</v>
      </c>
      <c r="AB48" s="98" t="s">
        <v>778</v>
      </c>
      <c r="AC48" s="98" t="s">
        <v>913</v>
      </c>
      <c r="AD48" s="98"/>
      <c r="AE48" s="98"/>
      <c r="AF48" s="98"/>
    </row>
    <row r="49" spans="1:32" ht="12.75" customHeight="1">
      <c r="A49" s="102" t="s">
        <v>602</v>
      </c>
      <c r="B49" s="102"/>
      <c r="C49" s="102"/>
      <c r="D49" s="102"/>
      <c r="E49" s="102"/>
      <c r="F49" s="102"/>
      <c r="G49" s="160"/>
      <c r="H49" s="160"/>
      <c r="I49" s="160"/>
      <c r="J49" s="160"/>
      <c r="K49" s="160"/>
      <c r="L49" s="186">
        <v>1636047.47</v>
      </c>
      <c r="M49" s="102"/>
      <c r="N49" s="102"/>
      <c r="O49" s="102"/>
      <c r="P49" s="102"/>
      <c r="Q49" s="102"/>
      <c r="R49" s="102"/>
      <c r="S49" s="102"/>
      <c r="T49" s="102"/>
      <c r="U49" s="102"/>
      <c r="V49" s="102"/>
      <c r="W49" s="102"/>
      <c r="X49" s="102"/>
      <c r="Y49" s="102"/>
      <c r="Z49" s="102"/>
      <c r="AA49" s="102"/>
      <c r="AB49" s="102"/>
      <c r="AC49" s="102"/>
      <c r="AD49" s="102"/>
      <c r="AE49" s="102"/>
      <c r="AF49" s="102"/>
    </row>
    <row r="51" spans="1:32" ht="31.5">
      <c r="A51" s="91" t="s">
        <v>746</v>
      </c>
      <c r="B51" s="91" t="s">
        <v>604</v>
      </c>
      <c r="C51" s="91" t="s">
        <v>747</v>
      </c>
      <c r="D51" s="91" t="s">
        <v>608</v>
      </c>
      <c r="E51" s="91" t="s">
        <v>749</v>
      </c>
      <c r="F51" s="91" t="s">
        <v>921</v>
      </c>
      <c r="G51" s="159" t="s">
        <v>748</v>
      </c>
      <c r="H51" s="159" t="s">
        <v>750</v>
      </c>
      <c r="I51" s="159" t="s">
        <v>751</v>
      </c>
      <c r="J51" s="159" t="s">
        <v>752</v>
      </c>
      <c r="K51" s="159" t="s">
        <v>753</v>
      </c>
      <c r="L51" s="91" t="s">
        <v>754</v>
      </c>
      <c r="M51" s="91" t="s">
        <v>918</v>
      </c>
      <c r="N51" s="91" t="s">
        <v>2</v>
      </c>
      <c r="O51" s="91" t="s">
        <v>755</v>
      </c>
      <c r="P51" s="91" t="s">
        <v>605</v>
      </c>
      <c r="Q51" s="91" t="s">
        <v>756</v>
      </c>
      <c r="R51" s="91" t="s">
        <v>946</v>
      </c>
      <c r="S51" s="91" t="s">
        <v>761</v>
      </c>
      <c r="T51" s="91" t="s">
        <v>760</v>
      </c>
      <c r="U51" s="91" t="s">
        <v>1361</v>
      </c>
      <c r="V51" s="91" t="s">
        <v>757</v>
      </c>
      <c r="W51" s="91" t="s">
        <v>758</v>
      </c>
      <c r="X51" s="91" t="s">
        <v>759</v>
      </c>
      <c r="Y51" s="91" t="s">
        <v>762</v>
      </c>
      <c r="Z51" s="91" t="s">
        <v>763</v>
      </c>
      <c r="AA51" s="91" t="s">
        <v>764</v>
      </c>
      <c r="AB51" s="91" t="s">
        <v>765</v>
      </c>
      <c r="AC51" s="91" t="s">
        <v>766</v>
      </c>
      <c r="AD51" s="91" t="s">
        <v>767</v>
      </c>
      <c r="AE51" s="91" t="s">
        <v>919</v>
      </c>
      <c r="AF51" s="91" t="s">
        <v>920</v>
      </c>
    </row>
    <row r="52" spans="1:32" ht="12.75" customHeight="1">
      <c r="A52" s="92" t="s">
        <v>703</v>
      </c>
      <c r="B52" s="92" t="s">
        <v>53</v>
      </c>
      <c r="C52" s="92" t="s">
        <v>922</v>
      </c>
      <c r="D52" s="92"/>
      <c r="E52" s="92" t="s">
        <v>768</v>
      </c>
      <c r="F52" s="92"/>
      <c r="G52" s="157">
        <v>9842807</v>
      </c>
      <c r="H52" s="157">
        <v>1383134</v>
      </c>
      <c r="I52" s="156" t="s">
        <v>769</v>
      </c>
      <c r="J52" s="157">
        <v>3</v>
      </c>
      <c r="K52" s="157">
        <v>21</v>
      </c>
      <c r="L52" s="96">
        <v>112350</v>
      </c>
      <c r="M52" s="100">
        <v>44216</v>
      </c>
      <c r="N52" s="100">
        <v>44256</v>
      </c>
      <c r="O52" s="100">
        <v>44252</v>
      </c>
      <c r="P52" s="92" t="s">
        <v>1430</v>
      </c>
      <c r="Q52" s="92" t="s">
        <v>732</v>
      </c>
      <c r="R52" s="92" t="s">
        <v>1431</v>
      </c>
      <c r="S52" s="92" t="s">
        <v>1193</v>
      </c>
      <c r="T52" s="92" t="s">
        <v>1432</v>
      </c>
      <c r="U52" s="92"/>
      <c r="V52" s="92"/>
      <c r="W52" s="92"/>
      <c r="X52" s="92"/>
      <c r="Y52" s="92" t="s">
        <v>606</v>
      </c>
      <c r="Z52" s="92" t="s">
        <v>770</v>
      </c>
      <c r="AA52" s="92" t="s">
        <v>1236</v>
      </c>
      <c r="AB52" s="92" t="s">
        <v>1433</v>
      </c>
      <c r="AC52" s="92" t="s">
        <v>912</v>
      </c>
      <c r="AD52" s="92" t="s">
        <v>1164</v>
      </c>
      <c r="AE52" s="92"/>
      <c r="AF52" s="92"/>
    </row>
    <row r="53" spans="1:32" ht="12.75" customHeight="1">
      <c r="A53" s="92" t="s">
        <v>703</v>
      </c>
      <c r="B53" s="92" t="s">
        <v>53</v>
      </c>
      <c r="C53" s="92" t="s">
        <v>922</v>
      </c>
      <c r="D53" s="92"/>
      <c r="E53" s="92" t="s">
        <v>768</v>
      </c>
      <c r="F53" s="92"/>
      <c r="G53" s="157">
        <v>9849007</v>
      </c>
      <c r="H53" s="157">
        <v>1385087</v>
      </c>
      <c r="I53" s="156" t="s">
        <v>769</v>
      </c>
      <c r="J53" s="157">
        <v>3</v>
      </c>
      <c r="K53" s="157">
        <v>21</v>
      </c>
      <c r="L53" s="96">
        <v>90000</v>
      </c>
      <c r="M53" s="100">
        <v>44260</v>
      </c>
      <c r="N53" s="100">
        <v>44265</v>
      </c>
      <c r="O53" s="100">
        <v>44265</v>
      </c>
      <c r="P53" s="92" t="s">
        <v>1434</v>
      </c>
      <c r="Q53" s="92" t="s">
        <v>1435</v>
      </c>
      <c r="R53" s="92" t="s">
        <v>1436</v>
      </c>
      <c r="S53" s="92" t="s">
        <v>1437</v>
      </c>
      <c r="T53" s="92" t="s">
        <v>1438</v>
      </c>
      <c r="U53" s="92"/>
      <c r="V53" s="92"/>
      <c r="W53" s="92"/>
      <c r="X53" s="92"/>
      <c r="Y53" s="92" t="s">
        <v>606</v>
      </c>
      <c r="Z53" s="92" t="s">
        <v>770</v>
      </c>
      <c r="AA53" s="92" t="s">
        <v>1236</v>
      </c>
      <c r="AB53" s="92" t="s">
        <v>778</v>
      </c>
      <c r="AC53" s="92" t="s">
        <v>912</v>
      </c>
      <c r="AD53" s="92" t="s">
        <v>1439</v>
      </c>
      <c r="AE53" s="92"/>
      <c r="AF53" s="92"/>
    </row>
    <row r="54" spans="1:32" ht="12.75" customHeight="1">
      <c r="A54" s="92" t="s">
        <v>703</v>
      </c>
      <c r="B54" s="92" t="s">
        <v>56</v>
      </c>
      <c r="C54" s="92" t="s">
        <v>922</v>
      </c>
      <c r="D54" s="92"/>
      <c r="E54" s="92" t="s">
        <v>768</v>
      </c>
      <c r="F54" s="92"/>
      <c r="G54" s="157">
        <v>9853843</v>
      </c>
      <c r="H54" s="157">
        <v>1386621</v>
      </c>
      <c r="I54" s="156" t="s">
        <v>769</v>
      </c>
      <c r="J54" s="157">
        <v>3</v>
      </c>
      <c r="K54" s="157">
        <v>21</v>
      </c>
      <c r="L54" s="96">
        <v>125000</v>
      </c>
      <c r="M54" s="100">
        <v>44237</v>
      </c>
      <c r="N54" s="100">
        <v>44274</v>
      </c>
      <c r="O54" s="100">
        <v>44274</v>
      </c>
      <c r="P54" s="92" t="s">
        <v>1440</v>
      </c>
      <c r="Q54" s="92" t="s">
        <v>830</v>
      </c>
      <c r="R54" s="92" t="s">
        <v>1441</v>
      </c>
      <c r="S54" s="92" t="s">
        <v>1442</v>
      </c>
      <c r="T54" s="92" t="s">
        <v>1443</v>
      </c>
      <c r="U54" s="92"/>
      <c r="V54" s="92"/>
      <c r="W54" s="92"/>
      <c r="X54" s="92"/>
      <c r="Y54" s="92" t="s">
        <v>606</v>
      </c>
      <c r="Z54" s="92" t="s">
        <v>770</v>
      </c>
      <c r="AA54" s="92" t="s">
        <v>1236</v>
      </c>
      <c r="AB54" s="92" t="s">
        <v>778</v>
      </c>
      <c r="AC54" s="92" t="s">
        <v>787</v>
      </c>
      <c r="AD54" s="92"/>
      <c r="AE54" s="92"/>
      <c r="AF54" s="92"/>
    </row>
    <row r="55" spans="1:32" ht="12.75" customHeight="1">
      <c r="A55" s="92" t="s">
        <v>703</v>
      </c>
      <c r="B55" s="92" t="s">
        <v>58</v>
      </c>
      <c r="C55" s="92" t="s">
        <v>922</v>
      </c>
      <c r="D55" s="92"/>
      <c r="E55" s="92" t="s">
        <v>768</v>
      </c>
      <c r="F55" s="92"/>
      <c r="G55" s="157">
        <v>9847549</v>
      </c>
      <c r="H55" s="157">
        <v>1383675</v>
      </c>
      <c r="I55" s="156" t="s">
        <v>769</v>
      </c>
      <c r="J55" s="157">
        <v>3</v>
      </c>
      <c r="K55" s="157">
        <v>21</v>
      </c>
      <c r="L55" s="96">
        <v>759635</v>
      </c>
      <c r="M55" s="100">
        <v>44239</v>
      </c>
      <c r="N55" s="100">
        <v>44265</v>
      </c>
      <c r="O55" s="100">
        <v>44265</v>
      </c>
      <c r="P55" s="92" t="s">
        <v>1444</v>
      </c>
      <c r="Q55" s="92" t="s">
        <v>1230</v>
      </c>
      <c r="R55" s="92" t="s">
        <v>1445</v>
      </c>
      <c r="S55" s="92" t="s">
        <v>1364</v>
      </c>
      <c r="T55" s="92" t="s">
        <v>1446</v>
      </c>
      <c r="U55" s="92"/>
      <c r="V55" s="92"/>
      <c r="W55" s="92"/>
      <c r="X55" s="92"/>
      <c r="Y55" s="92" t="s">
        <v>606</v>
      </c>
      <c r="Z55" s="92" t="s">
        <v>770</v>
      </c>
      <c r="AA55" s="92" t="s">
        <v>1236</v>
      </c>
      <c r="AB55" s="92" t="s">
        <v>778</v>
      </c>
      <c r="AC55" s="92" t="s">
        <v>929</v>
      </c>
      <c r="AD55" s="92" t="s">
        <v>1264</v>
      </c>
      <c r="AE55" s="92"/>
      <c r="AF55" s="92"/>
    </row>
    <row r="56" spans="1:32" ht="12.75" customHeight="1">
      <c r="A56" s="92" t="s">
        <v>703</v>
      </c>
      <c r="B56" s="92" t="s">
        <v>58</v>
      </c>
      <c r="C56" s="92" t="s">
        <v>922</v>
      </c>
      <c r="D56" s="92"/>
      <c r="E56" s="92" t="s">
        <v>768</v>
      </c>
      <c r="F56" s="92"/>
      <c r="G56" s="157">
        <v>9848481</v>
      </c>
      <c r="H56" s="157">
        <v>1384582</v>
      </c>
      <c r="I56" s="156" t="s">
        <v>769</v>
      </c>
      <c r="J56" s="157">
        <v>3</v>
      </c>
      <c r="K56" s="157">
        <v>21</v>
      </c>
      <c r="L56" s="96">
        <v>200000</v>
      </c>
      <c r="M56" s="100">
        <v>44255</v>
      </c>
      <c r="N56" s="100">
        <v>44265</v>
      </c>
      <c r="O56" s="100">
        <v>44265</v>
      </c>
      <c r="P56" s="92" t="s">
        <v>1447</v>
      </c>
      <c r="Q56" s="92" t="s">
        <v>1448</v>
      </c>
      <c r="R56" s="92" t="s">
        <v>1449</v>
      </c>
      <c r="S56" s="92" t="s">
        <v>1450</v>
      </c>
      <c r="T56" s="92" t="s">
        <v>1451</v>
      </c>
      <c r="U56" s="92"/>
      <c r="V56" s="92"/>
      <c r="W56" s="92"/>
      <c r="X56" s="92"/>
      <c r="Y56" s="92" t="s">
        <v>606</v>
      </c>
      <c r="Z56" s="92" t="s">
        <v>770</v>
      </c>
      <c r="AA56" s="92" t="s">
        <v>1236</v>
      </c>
      <c r="AB56" s="92" t="s">
        <v>778</v>
      </c>
      <c r="AC56" s="92" t="s">
        <v>929</v>
      </c>
      <c r="AD56" s="92" t="s">
        <v>1452</v>
      </c>
      <c r="AE56" s="92"/>
      <c r="AF56" s="92"/>
    </row>
    <row r="57" spans="1:32" ht="12.75" customHeight="1">
      <c r="A57" s="92" t="s">
        <v>703</v>
      </c>
      <c r="B57" s="92" t="s">
        <v>58</v>
      </c>
      <c r="C57" s="92" t="s">
        <v>922</v>
      </c>
      <c r="D57" s="92"/>
      <c r="E57" s="92" t="s">
        <v>768</v>
      </c>
      <c r="F57" s="92"/>
      <c r="G57" s="157">
        <v>9852712</v>
      </c>
      <c r="H57" s="157">
        <v>1386265</v>
      </c>
      <c r="I57" s="156" t="s">
        <v>769</v>
      </c>
      <c r="J57" s="157">
        <v>3</v>
      </c>
      <c r="K57" s="157">
        <v>21</v>
      </c>
      <c r="L57" s="96">
        <v>126080.58</v>
      </c>
      <c r="M57" s="100">
        <v>44176</v>
      </c>
      <c r="N57" s="100">
        <v>44272</v>
      </c>
      <c r="O57" s="100">
        <v>44272</v>
      </c>
      <c r="P57" s="92" t="s">
        <v>1453</v>
      </c>
      <c r="Q57" s="92" t="s">
        <v>1454</v>
      </c>
      <c r="R57" s="92" t="s">
        <v>1455</v>
      </c>
      <c r="S57" s="92" t="s">
        <v>1456</v>
      </c>
      <c r="T57" s="92" t="s">
        <v>1457</v>
      </c>
      <c r="U57" s="92"/>
      <c r="V57" s="92"/>
      <c r="W57" s="92"/>
      <c r="X57" s="92"/>
      <c r="Y57" s="92" t="s">
        <v>606</v>
      </c>
      <c r="Z57" s="92" t="s">
        <v>770</v>
      </c>
      <c r="AA57" s="92" t="s">
        <v>1236</v>
      </c>
      <c r="AB57" s="92" t="s">
        <v>778</v>
      </c>
      <c r="AC57" s="92" t="s">
        <v>929</v>
      </c>
      <c r="AD57" s="92" t="s">
        <v>1458</v>
      </c>
      <c r="AE57" s="92"/>
      <c r="AF57" s="92"/>
    </row>
    <row r="58" spans="1:32" ht="12.75" customHeight="1">
      <c r="A58" s="92" t="s">
        <v>703</v>
      </c>
      <c r="B58" s="92" t="s">
        <v>61</v>
      </c>
      <c r="C58" s="92" t="s">
        <v>922</v>
      </c>
      <c r="D58" s="92"/>
      <c r="E58" s="92" t="s">
        <v>768</v>
      </c>
      <c r="F58" s="92"/>
      <c r="G58" s="157">
        <v>9848373</v>
      </c>
      <c r="H58" s="157">
        <v>1384475</v>
      </c>
      <c r="I58" s="156" t="s">
        <v>769</v>
      </c>
      <c r="J58" s="157">
        <v>3</v>
      </c>
      <c r="K58" s="157">
        <v>21</v>
      </c>
      <c r="L58" s="96">
        <v>50000</v>
      </c>
      <c r="M58" s="100">
        <v>44256</v>
      </c>
      <c r="N58" s="100">
        <v>44265</v>
      </c>
      <c r="O58" s="100">
        <v>44265</v>
      </c>
      <c r="P58" s="92" t="s">
        <v>1459</v>
      </c>
      <c r="Q58" s="92" t="s">
        <v>629</v>
      </c>
      <c r="R58" s="92" t="s">
        <v>1460</v>
      </c>
      <c r="S58" s="92" t="s">
        <v>1144</v>
      </c>
      <c r="T58" s="92" t="s">
        <v>1461</v>
      </c>
      <c r="U58" s="92"/>
      <c r="V58" s="92"/>
      <c r="W58" s="92"/>
      <c r="X58" s="92"/>
      <c r="Y58" s="92" t="s">
        <v>606</v>
      </c>
      <c r="Z58" s="92" t="s">
        <v>770</v>
      </c>
      <c r="AA58" s="92" t="s">
        <v>1236</v>
      </c>
      <c r="AB58" s="92" t="s">
        <v>778</v>
      </c>
      <c r="AC58" s="92" t="s">
        <v>933</v>
      </c>
      <c r="AD58" s="92" t="s">
        <v>1462</v>
      </c>
      <c r="AE58" s="92"/>
      <c r="AF58" s="92"/>
    </row>
    <row r="59" spans="1:32" ht="12.75" customHeight="1">
      <c r="A59" s="92" t="s">
        <v>703</v>
      </c>
      <c r="B59" s="92" t="s">
        <v>64</v>
      </c>
      <c r="C59" s="92" t="s">
        <v>922</v>
      </c>
      <c r="D59" s="92"/>
      <c r="E59" s="92" t="s">
        <v>768</v>
      </c>
      <c r="F59" s="92"/>
      <c r="G59" s="157">
        <v>9856269</v>
      </c>
      <c r="H59" s="157">
        <v>1387144</v>
      </c>
      <c r="I59" s="156" t="s">
        <v>769</v>
      </c>
      <c r="J59" s="157">
        <v>3</v>
      </c>
      <c r="K59" s="157">
        <v>21</v>
      </c>
      <c r="L59" s="96">
        <v>159600</v>
      </c>
      <c r="M59" s="100">
        <v>44277</v>
      </c>
      <c r="N59" s="100">
        <v>44279</v>
      </c>
      <c r="O59" s="100">
        <v>44279</v>
      </c>
      <c r="P59" s="92" t="s">
        <v>1550</v>
      </c>
      <c r="Q59" s="92" t="s">
        <v>697</v>
      </c>
      <c r="R59" s="92" t="s">
        <v>1551</v>
      </c>
      <c r="S59" s="92" t="s">
        <v>1552</v>
      </c>
      <c r="T59" s="92" t="s">
        <v>1553</v>
      </c>
      <c r="U59" s="92"/>
      <c r="V59" s="92"/>
      <c r="W59" s="92"/>
      <c r="X59" s="92"/>
      <c r="Y59" s="92" t="s">
        <v>606</v>
      </c>
      <c r="Z59" s="92" t="s">
        <v>770</v>
      </c>
      <c r="AA59" s="92" t="s">
        <v>1236</v>
      </c>
      <c r="AB59" s="92" t="s">
        <v>778</v>
      </c>
      <c r="AC59" s="92" t="s">
        <v>785</v>
      </c>
      <c r="AD59" s="92" t="s">
        <v>1173</v>
      </c>
      <c r="AE59" s="92"/>
      <c r="AF59" s="92"/>
    </row>
    <row r="60" spans="1:32" ht="12.75" customHeight="1">
      <c r="A60" s="92" t="s">
        <v>703</v>
      </c>
      <c r="B60" s="92" t="s">
        <v>64</v>
      </c>
      <c r="C60" s="92" t="s">
        <v>922</v>
      </c>
      <c r="D60" s="92"/>
      <c r="E60" s="92" t="s">
        <v>49</v>
      </c>
      <c r="F60" s="92"/>
      <c r="G60" s="157">
        <v>9844277</v>
      </c>
      <c r="H60" s="157">
        <v>18045645</v>
      </c>
      <c r="I60" s="156" t="s">
        <v>772</v>
      </c>
      <c r="J60" s="157">
        <v>3</v>
      </c>
      <c r="K60" s="157">
        <v>21</v>
      </c>
      <c r="L60" s="96">
        <v>-45000</v>
      </c>
      <c r="M60" s="100">
        <v>44286</v>
      </c>
      <c r="N60" s="100">
        <v>44286</v>
      </c>
      <c r="O60" s="100">
        <v>44256</v>
      </c>
      <c r="P60" s="92" t="s">
        <v>1463</v>
      </c>
      <c r="Q60" s="92" t="s">
        <v>1463</v>
      </c>
      <c r="R60" s="92"/>
      <c r="S60" s="92">
        <v>0</v>
      </c>
      <c r="T60" s="92" t="s">
        <v>1464</v>
      </c>
      <c r="U60" s="92"/>
      <c r="V60" s="92"/>
      <c r="W60" s="92"/>
      <c r="X60" s="92"/>
      <c r="Y60" s="92" t="s">
        <v>606</v>
      </c>
      <c r="Z60" s="92" t="s">
        <v>770</v>
      </c>
      <c r="AA60" s="92" t="s">
        <v>1306</v>
      </c>
      <c r="AB60" s="92" t="s">
        <v>1305</v>
      </c>
      <c r="AC60" s="92" t="s">
        <v>785</v>
      </c>
      <c r="AD60" s="92" t="s">
        <v>1465</v>
      </c>
      <c r="AE60" s="92"/>
      <c r="AF60" s="92"/>
    </row>
    <row r="61" spans="1:32" ht="12.75" customHeight="1">
      <c r="A61" s="92" t="s">
        <v>703</v>
      </c>
      <c r="B61" s="92" t="s">
        <v>1104</v>
      </c>
      <c r="C61" s="92" t="s">
        <v>922</v>
      </c>
      <c r="D61" s="92"/>
      <c r="E61" s="92" t="s">
        <v>49</v>
      </c>
      <c r="F61" s="92"/>
      <c r="G61" s="157">
        <v>9839669</v>
      </c>
      <c r="H61" s="157">
        <v>18038749</v>
      </c>
      <c r="I61" s="156" t="s">
        <v>772</v>
      </c>
      <c r="J61" s="157">
        <v>3</v>
      </c>
      <c r="K61" s="157">
        <v>21</v>
      </c>
      <c r="L61" s="96">
        <v>-150000</v>
      </c>
      <c r="M61" s="100">
        <v>44286</v>
      </c>
      <c r="N61" s="100">
        <v>44286</v>
      </c>
      <c r="O61" s="100">
        <v>44244</v>
      </c>
      <c r="P61" s="92" t="s">
        <v>1466</v>
      </c>
      <c r="Q61" s="92" t="s">
        <v>1467</v>
      </c>
      <c r="R61" s="92"/>
      <c r="S61" s="92">
        <v>0</v>
      </c>
      <c r="T61" s="92" t="s">
        <v>1468</v>
      </c>
      <c r="U61" s="92"/>
      <c r="V61" s="92"/>
      <c r="W61" s="92" t="s">
        <v>1251</v>
      </c>
      <c r="X61" s="92"/>
      <c r="Y61" s="92" t="s">
        <v>606</v>
      </c>
      <c r="Z61" s="92" t="s">
        <v>770</v>
      </c>
      <c r="AA61" s="92" t="s">
        <v>1469</v>
      </c>
      <c r="AB61" s="92" t="s">
        <v>778</v>
      </c>
      <c r="AC61" s="92" t="s">
        <v>1105</v>
      </c>
      <c r="AD61" s="92" t="s">
        <v>1470</v>
      </c>
      <c r="AE61" s="92"/>
      <c r="AF61" s="92"/>
    </row>
    <row r="62" spans="1:32" ht="12.75" customHeight="1">
      <c r="A62" s="92" t="s">
        <v>703</v>
      </c>
      <c r="B62" s="92" t="s">
        <v>1104</v>
      </c>
      <c r="C62" s="92" t="s">
        <v>922</v>
      </c>
      <c r="D62" s="92"/>
      <c r="E62" s="92" t="s">
        <v>49</v>
      </c>
      <c r="F62" s="92"/>
      <c r="G62" s="157">
        <v>9839669</v>
      </c>
      <c r="H62" s="157">
        <v>18038749</v>
      </c>
      <c r="I62" s="156" t="s">
        <v>772</v>
      </c>
      <c r="J62" s="157">
        <v>3</v>
      </c>
      <c r="K62" s="157">
        <v>21</v>
      </c>
      <c r="L62" s="96">
        <v>-800000</v>
      </c>
      <c r="M62" s="100">
        <v>44286</v>
      </c>
      <c r="N62" s="100">
        <v>44286</v>
      </c>
      <c r="O62" s="100">
        <v>44244</v>
      </c>
      <c r="P62" s="92" t="s">
        <v>1471</v>
      </c>
      <c r="Q62" s="92" t="s">
        <v>1467</v>
      </c>
      <c r="R62" s="92"/>
      <c r="S62" s="92">
        <v>0</v>
      </c>
      <c r="T62" s="92" t="s">
        <v>1472</v>
      </c>
      <c r="U62" s="92"/>
      <c r="V62" s="92"/>
      <c r="W62" s="92" t="s">
        <v>1251</v>
      </c>
      <c r="X62" s="92"/>
      <c r="Y62" s="92" t="s">
        <v>606</v>
      </c>
      <c r="Z62" s="92" t="s">
        <v>770</v>
      </c>
      <c r="AA62" s="92" t="s">
        <v>1469</v>
      </c>
      <c r="AB62" s="92" t="s">
        <v>778</v>
      </c>
      <c r="AC62" s="92" t="s">
        <v>1105</v>
      </c>
      <c r="AD62" s="92" t="s">
        <v>1473</v>
      </c>
      <c r="AE62" s="92"/>
      <c r="AF62" s="92"/>
    </row>
    <row r="63" spans="1:32" ht="12.75" customHeight="1">
      <c r="A63" s="92" t="s">
        <v>846</v>
      </c>
      <c r="B63" s="92" t="s">
        <v>47</v>
      </c>
      <c r="C63" s="92" t="s">
        <v>922</v>
      </c>
      <c r="D63" s="92"/>
      <c r="E63" s="92" t="s">
        <v>49</v>
      </c>
      <c r="F63" s="92"/>
      <c r="G63" s="157">
        <v>9843866</v>
      </c>
      <c r="H63" s="157">
        <v>18043554</v>
      </c>
      <c r="I63" s="156" t="s">
        <v>772</v>
      </c>
      <c r="J63" s="157">
        <v>3</v>
      </c>
      <c r="K63" s="157">
        <v>21</v>
      </c>
      <c r="L63" s="96">
        <v>-486266.68</v>
      </c>
      <c r="M63" s="100">
        <v>44256</v>
      </c>
      <c r="N63" s="100">
        <v>44256</v>
      </c>
      <c r="O63" s="100">
        <v>44254</v>
      </c>
      <c r="P63" s="92" t="s">
        <v>1474</v>
      </c>
      <c r="Q63" s="92" t="s">
        <v>1475</v>
      </c>
      <c r="R63" s="92"/>
      <c r="S63" s="92">
        <v>0</v>
      </c>
      <c r="T63" s="92" t="s">
        <v>1476</v>
      </c>
      <c r="U63" s="92"/>
      <c r="V63" s="92"/>
      <c r="W63" s="92"/>
      <c r="X63" s="92"/>
      <c r="Y63" s="92" t="s">
        <v>606</v>
      </c>
      <c r="Z63" s="92" t="s">
        <v>770</v>
      </c>
      <c r="AA63" s="92" t="s">
        <v>1014</v>
      </c>
      <c r="AB63" s="92" t="s">
        <v>1253</v>
      </c>
      <c r="AC63" s="92" t="s">
        <v>789</v>
      </c>
      <c r="AD63" s="92" t="s">
        <v>1477</v>
      </c>
      <c r="AE63" s="92"/>
      <c r="AF63" s="92"/>
    </row>
    <row r="64" spans="1:32" ht="12.75" customHeight="1">
      <c r="A64" s="92" t="s">
        <v>846</v>
      </c>
      <c r="B64" s="92" t="s">
        <v>72</v>
      </c>
      <c r="C64" s="92" t="s">
        <v>922</v>
      </c>
      <c r="D64" s="92"/>
      <c r="E64" s="92" t="s">
        <v>768</v>
      </c>
      <c r="F64" s="92"/>
      <c r="G64" s="157">
        <v>9850065</v>
      </c>
      <c r="H64" s="157">
        <v>1385732</v>
      </c>
      <c r="I64" s="156" t="s">
        <v>769</v>
      </c>
      <c r="J64" s="157">
        <v>3</v>
      </c>
      <c r="K64" s="157">
        <v>21</v>
      </c>
      <c r="L64" s="96">
        <v>15000</v>
      </c>
      <c r="M64" s="100">
        <v>44252</v>
      </c>
      <c r="N64" s="100">
        <v>44266</v>
      </c>
      <c r="O64" s="100">
        <v>44266</v>
      </c>
      <c r="P64" s="92" t="s">
        <v>1478</v>
      </c>
      <c r="Q64" s="92" t="s">
        <v>1479</v>
      </c>
      <c r="R64" s="92" t="s">
        <v>1480</v>
      </c>
      <c r="S64" s="92" t="s">
        <v>1481</v>
      </c>
      <c r="T64" s="92" t="s">
        <v>1482</v>
      </c>
      <c r="U64" s="92"/>
      <c r="V64" s="92"/>
      <c r="W64" s="92"/>
      <c r="X64" s="92"/>
      <c r="Y64" s="92" t="s">
        <v>606</v>
      </c>
      <c r="Z64" s="92" t="s">
        <v>770</v>
      </c>
      <c r="AA64" s="92" t="s">
        <v>1236</v>
      </c>
      <c r="AB64" s="92" t="s">
        <v>778</v>
      </c>
      <c r="AC64" s="92" t="s">
        <v>786</v>
      </c>
      <c r="AD64" s="92" t="s">
        <v>1290</v>
      </c>
      <c r="AE64" s="92"/>
      <c r="AF64" s="92"/>
    </row>
    <row r="65" spans="1:32" ht="12.75" customHeight="1">
      <c r="A65" s="92" t="s">
        <v>846</v>
      </c>
      <c r="B65" s="92" t="s">
        <v>1003</v>
      </c>
      <c r="C65" s="92" t="s">
        <v>922</v>
      </c>
      <c r="D65" s="92"/>
      <c r="E65" s="92" t="s">
        <v>768</v>
      </c>
      <c r="F65" s="92"/>
      <c r="G65" s="157">
        <v>9854253</v>
      </c>
      <c r="H65" s="157">
        <v>1386755</v>
      </c>
      <c r="I65" s="156" t="s">
        <v>769</v>
      </c>
      <c r="J65" s="157">
        <v>3</v>
      </c>
      <c r="K65" s="157">
        <v>21</v>
      </c>
      <c r="L65" s="96">
        <v>154398.32999999999</v>
      </c>
      <c r="M65" s="100">
        <v>44201</v>
      </c>
      <c r="N65" s="100">
        <v>44274</v>
      </c>
      <c r="O65" s="100">
        <v>44274</v>
      </c>
      <c r="P65" s="92" t="s">
        <v>1483</v>
      </c>
      <c r="Q65" s="92" t="s">
        <v>1095</v>
      </c>
      <c r="R65" s="92" t="s">
        <v>1484</v>
      </c>
      <c r="S65" s="92" t="s">
        <v>1485</v>
      </c>
      <c r="T65" s="92" t="s">
        <v>1486</v>
      </c>
      <c r="U65" s="92"/>
      <c r="V65" s="92"/>
      <c r="W65" s="92"/>
      <c r="X65" s="92"/>
      <c r="Y65" s="92" t="s">
        <v>606</v>
      </c>
      <c r="Z65" s="92" t="s">
        <v>770</v>
      </c>
      <c r="AA65" s="92" t="s">
        <v>1236</v>
      </c>
      <c r="AB65" s="92" t="s">
        <v>778</v>
      </c>
      <c r="AC65" s="92" t="s">
        <v>1004</v>
      </c>
      <c r="AD65" s="92" t="s">
        <v>1093</v>
      </c>
      <c r="AE65" s="92"/>
      <c r="AF65" s="92"/>
    </row>
    <row r="66" spans="1:32" ht="12.75" customHeight="1">
      <c r="A66" s="92" t="s">
        <v>846</v>
      </c>
      <c r="B66" s="92" t="s">
        <v>63</v>
      </c>
      <c r="C66" s="92" t="s">
        <v>922</v>
      </c>
      <c r="D66" s="92"/>
      <c r="E66" s="92" t="s">
        <v>49</v>
      </c>
      <c r="F66" s="92"/>
      <c r="G66" s="157">
        <v>9843883</v>
      </c>
      <c r="H66" s="157">
        <v>18043560</v>
      </c>
      <c r="I66" s="156" t="s">
        <v>772</v>
      </c>
      <c r="J66" s="157">
        <v>3</v>
      </c>
      <c r="K66" s="157">
        <v>21</v>
      </c>
      <c r="L66" s="96">
        <v>-95895</v>
      </c>
      <c r="M66" s="100">
        <v>44256</v>
      </c>
      <c r="N66" s="100">
        <v>44256</v>
      </c>
      <c r="O66" s="100">
        <v>44254</v>
      </c>
      <c r="P66" s="92" t="s">
        <v>1487</v>
      </c>
      <c r="Q66" s="92" t="s">
        <v>1488</v>
      </c>
      <c r="R66" s="92"/>
      <c r="S66" s="92">
        <v>0</v>
      </c>
      <c r="T66" s="92" t="s">
        <v>1489</v>
      </c>
      <c r="U66" s="92"/>
      <c r="V66" s="92"/>
      <c r="W66" s="92"/>
      <c r="X66" s="92"/>
      <c r="Y66" s="92" t="s">
        <v>606</v>
      </c>
      <c r="Z66" s="92" t="s">
        <v>770</v>
      </c>
      <c r="AA66" s="92" t="s">
        <v>1014</v>
      </c>
      <c r="AB66" s="92" t="s">
        <v>1253</v>
      </c>
      <c r="AC66" s="92" t="s">
        <v>781</v>
      </c>
      <c r="AD66" s="92" t="s">
        <v>1276</v>
      </c>
      <c r="AE66" s="92"/>
      <c r="AF66" s="92"/>
    </row>
    <row r="67" spans="1:32" ht="12.75" customHeight="1">
      <c r="A67" s="92" t="s">
        <v>846</v>
      </c>
      <c r="B67" s="92" t="s">
        <v>609</v>
      </c>
      <c r="C67" s="92" t="s">
        <v>922</v>
      </c>
      <c r="D67" s="92"/>
      <c r="E67" s="92" t="s">
        <v>49</v>
      </c>
      <c r="F67" s="92"/>
      <c r="G67" s="157">
        <v>9841387</v>
      </c>
      <c r="H67" s="157">
        <v>18042542</v>
      </c>
      <c r="I67" s="156" t="s">
        <v>772</v>
      </c>
      <c r="J67" s="157">
        <v>3</v>
      </c>
      <c r="K67" s="157">
        <v>21</v>
      </c>
      <c r="L67" s="96">
        <v>-50000</v>
      </c>
      <c r="M67" s="100">
        <v>44286</v>
      </c>
      <c r="N67" s="100">
        <v>44286</v>
      </c>
      <c r="O67" s="100">
        <v>44249</v>
      </c>
      <c r="P67" s="92" t="s">
        <v>1490</v>
      </c>
      <c r="Q67" s="92" t="s">
        <v>1490</v>
      </c>
      <c r="R67" s="92"/>
      <c r="S67" s="92">
        <v>0</v>
      </c>
      <c r="T67" s="92" t="s">
        <v>1491</v>
      </c>
      <c r="U67" s="92"/>
      <c r="V67" s="92"/>
      <c r="W67" s="92" t="s">
        <v>957</v>
      </c>
      <c r="X67" s="92"/>
      <c r="Y67" s="92" t="s">
        <v>606</v>
      </c>
      <c r="Z67" s="92" t="s">
        <v>770</v>
      </c>
      <c r="AA67" s="92" t="s">
        <v>1041</v>
      </c>
      <c r="AB67" s="92" t="s">
        <v>778</v>
      </c>
      <c r="AC67" s="92" t="s">
        <v>788</v>
      </c>
      <c r="AD67" s="92" t="s">
        <v>1492</v>
      </c>
      <c r="AE67" s="92"/>
      <c r="AF67" s="92"/>
    </row>
    <row r="68" spans="1:32" ht="12.75" customHeight="1">
      <c r="A68" s="92" t="s">
        <v>892</v>
      </c>
      <c r="B68" s="92" t="s">
        <v>50</v>
      </c>
      <c r="C68" s="92" t="s">
        <v>922</v>
      </c>
      <c r="D68" s="92"/>
      <c r="E68" s="92" t="s">
        <v>768</v>
      </c>
      <c r="F68" s="92"/>
      <c r="G68" s="157">
        <v>9848611</v>
      </c>
      <c r="H68" s="157">
        <v>1384707</v>
      </c>
      <c r="I68" s="156" t="s">
        <v>769</v>
      </c>
      <c r="J68" s="157">
        <v>3</v>
      </c>
      <c r="K68" s="157">
        <v>21</v>
      </c>
      <c r="L68" s="96">
        <v>80000</v>
      </c>
      <c r="M68" s="100">
        <v>44255</v>
      </c>
      <c r="N68" s="100">
        <v>44265</v>
      </c>
      <c r="O68" s="100">
        <v>44265</v>
      </c>
      <c r="P68" s="92" t="s">
        <v>1493</v>
      </c>
      <c r="Q68" s="92" t="s">
        <v>1494</v>
      </c>
      <c r="R68" s="92" t="s">
        <v>1495</v>
      </c>
      <c r="S68" s="92" t="s">
        <v>1496</v>
      </c>
      <c r="T68" s="92" t="s">
        <v>1497</v>
      </c>
      <c r="U68" s="92"/>
      <c r="V68" s="92"/>
      <c r="W68" s="92"/>
      <c r="X68" s="92"/>
      <c r="Y68" s="92" t="s">
        <v>606</v>
      </c>
      <c r="Z68" s="92" t="s">
        <v>770</v>
      </c>
      <c r="AA68" s="92" t="s">
        <v>1236</v>
      </c>
      <c r="AB68" s="92" t="s">
        <v>778</v>
      </c>
      <c r="AC68" s="92" t="s">
        <v>925</v>
      </c>
      <c r="AD68" s="92" t="s">
        <v>1498</v>
      </c>
      <c r="AE68" s="92"/>
      <c r="AF68" s="92"/>
    </row>
    <row r="69" spans="1:32" ht="12.75" customHeight="1">
      <c r="A69" s="92" t="s">
        <v>892</v>
      </c>
      <c r="B69" s="92" t="s">
        <v>50</v>
      </c>
      <c r="C69" s="92" t="s">
        <v>922</v>
      </c>
      <c r="D69" s="92"/>
      <c r="E69" s="92" t="s">
        <v>768</v>
      </c>
      <c r="F69" s="92"/>
      <c r="G69" s="157">
        <v>9852752</v>
      </c>
      <c r="H69" s="157">
        <v>1386303</v>
      </c>
      <c r="I69" s="156" t="s">
        <v>769</v>
      </c>
      <c r="J69" s="157">
        <v>3</v>
      </c>
      <c r="K69" s="157">
        <v>21</v>
      </c>
      <c r="L69" s="96">
        <v>198960</v>
      </c>
      <c r="M69" s="100">
        <v>44167</v>
      </c>
      <c r="N69" s="100">
        <v>44272</v>
      </c>
      <c r="O69" s="100">
        <v>44272</v>
      </c>
      <c r="P69" s="92" t="s">
        <v>1499</v>
      </c>
      <c r="Q69" s="92" t="s">
        <v>1157</v>
      </c>
      <c r="R69" s="92" t="s">
        <v>1500</v>
      </c>
      <c r="S69" s="92" t="s">
        <v>1501</v>
      </c>
      <c r="T69" s="92" t="s">
        <v>1502</v>
      </c>
      <c r="U69" s="92"/>
      <c r="V69" s="92"/>
      <c r="W69" s="92"/>
      <c r="X69" s="92"/>
      <c r="Y69" s="92" t="s">
        <v>606</v>
      </c>
      <c r="Z69" s="92" t="s">
        <v>770</v>
      </c>
      <c r="AA69" s="92" t="s">
        <v>1236</v>
      </c>
      <c r="AB69" s="92" t="s">
        <v>778</v>
      </c>
      <c r="AC69" s="92" t="s">
        <v>925</v>
      </c>
      <c r="AD69" s="92" t="s">
        <v>1137</v>
      </c>
      <c r="AE69" s="92"/>
      <c r="AF69" s="92"/>
    </row>
    <row r="70" spans="1:32" ht="12.75" customHeight="1">
      <c r="A70" s="92" t="s">
        <v>892</v>
      </c>
      <c r="B70" s="92" t="s">
        <v>1001</v>
      </c>
      <c r="C70" s="92" t="s">
        <v>922</v>
      </c>
      <c r="D70" s="92"/>
      <c r="E70" s="92" t="s">
        <v>768</v>
      </c>
      <c r="F70" s="92"/>
      <c r="G70" s="157">
        <v>9848211</v>
      </c>
      <c r="H70" s="157">
        <v>1384314</v>
      </c>
      <c r="I70" s="156" t="s">
        <v>769</v>
      </c>
      <c r="J70" s="157">
        <v>3</v>
      </c>
      <c r="K70" s="157">
        <v>21</v>
      </c>
      <c r="L70" s="96">
        <v>68650</v>
      </c>
      <c r="M70" s="100">
        <v>44250</v>
      </c>
      <c r="N70" s="100">
        <v>44265</v>
      </c>
      <c r="O70" s="100">
        <v>44265</v>
      </c>
      <c r="P70" s="92" t="s">
        <v>1503</v>
      </c>
      <c r="Q70" s="92" t="s">
        <v>810</v>
      </c>
      <c r="R70" s="92" t="s">
        <v>1504</v>
      </c>
      <c r="S70" s="92" t="s">
        <v>1505</v>
      </c>
      <c r="T70" s="92" t="s">
        <v>1506</v>
      </c>
      <c r="U70" s="92"/>
      <c r="V70" s="92"/>
      <c r="W70" s="92"/>
      <c r="X70" s="92"/>
      <c r="Y70" s="92" t="s">
        <v>606</v>
      </c>
      <c r="Z70" s="92" t="s">
        <v>770</v>
      </c>
      <c r="AA70" s="92" t="s">
        <v>1236</v>
      </c>
      <c r="AB70" s="92" t="s">
        <v>778</v>
      </c>
      <c r="AC70" s="92" t="s">
        <v>1002</v>
      </c>
      <c r="AD70" s="92" t="s">
        <v>1246</v>
      </c>
      <c r="AE70" s="92"/>
      <c r="AF70" s="92"/>
    </row>
    <row r="71" spans="1:32" ht="12.75" customHeight="1">
      <c r="A71" s="92" t="s">
        <v>892</v>
      </c>
      <c r="B71" s="92" t="s">
        <v>1001</v>
      </c>
      <c r="C71" s="92" t="s">
        <v>922</v>
      </c>
      <c r="D71" s="92"/>
      <c r="E71" s="92" t="s">
        <v>768</v>
      </c>
      <c r="F71" s="92" t="s">
        <v>768</v>
      </c>
      <c r="G71" s="157">
        <v>9852872</v>
      </c>
      <c r="H71" s="157">
        <v>1386413</v>
      </c>
      <c r="I71" s="156" t="s">
        <v>769</v>
      </c>
      <c r="J71" s="157">
        <v>3</v>
      </c>
      <c r="K71" s="157">
        <v>21</v>
      </c>
      <c r="L71" s="96">
        <v>289423.89</v>
      </c>
      <c r="M71" s="100">
        <v>43910</v>
      </c>
      <c r="N71" s="100">
        <v>44272</v>
      </c>
      <c r="O71" s="100">
        <v>44272</v>
      </c>
      <c r="P71" s="92" t="s">
        <v>1507</v>
      </c>
      <c r="Q71" s="92" t="s">
        <v>655</v>
      </c>
      <c r="R71" s="92" t="s">
        <v>1508</v>
      </c>
      <c r="S71" s="92" t="s">
        <v>1412</v>
      </c>
      <c r="T71" s="92" t="s">
        <v>1509</v>
      </c>
      <c r="U71" s="92"/>
      <c r="V71" s="92"/>
      <c r="W71" s="92"/>
      <c r="X71" s="92"/>
      <c r="Y71" s="92" t="s">
        <v>606</v>
      </c>
      <c r="Z71" s="92" t="s">
        <v>770</v>
      </c>
      <c r="AA71" s="92" t="s">
        <v>1236</v>
      </c>
      <c r="AB71" s="92" t="s">
        <v>778</v>
      </c>
      <c r="AC71" s="92" t="s">
        <v>1002</v>
      </c>
      <c r="AD71" s="92" t="s">
        <v>1138</v>
      </c>
      <c r="AE71" s="92"/>
      <c r="AF71" s="92"/>
    </row>
    <row r="72" spans="1:32" ht="12.75" customHeight="1">
      <c r="A72" s="92" t="s">
        <v>892</v>
      </c>
      <c r="B72" s="92" t="s">
        <v>1001</v>
      </c>
      <c r="C72" s="92" t="s">
        <v>922</v>
      </c>
      <c r="D72" s="92"/>
      <c r="E72" s="92" t="s">
        <v>768</v>
      </c>
      <c r="F72" s="92"/>
      <c r="G72" s="157">
        <v>9856173</v>
      </c>
      <c r="H72" s="157">
        <v>1387051</v>
      </c>
      <c r="I72" s="156" t="s">
        <v>769</v>
      </c>
      <c r="J72" s="157">
        <v>3</v>
      </c>
      <c r="K72" s="157">
        <v>21</v>
      </c>
      <c r="L72" s="96">
        <v>274910.25</v>
      </c>
      <c r="M72" s="100">
        <v>44153</v>
      </c>
      <c r="N72" s="100">
        <v>44279</v>
      </c>
      <c r="O72" s="100">
        <v>44279</v>
      </c>
      <c r="P72" s="92" t="s">
        <v>1554</v>
      </c>
      <c r="Q72" s="92" t="s">
        <v>1267</v>
      </c>
      <c r="R72" s="92" t="s">
        <v>1555</v>
      </c>
      <c r="S72" s="92" t="s">
        <v>1268</v>
      </c>
      <c r="T72" s="92" t="s">
        <v>1556</v>
      </c>
      <c r="U72" s="92"/>
      <c r="V72" s="92"/>
      <c r="W72" s="92"/>
      <c r="X72" s="92"/>
      <c r="Y72" s="92" t="s">
        <v>606</v>
      </c>
      <c r="Z72" s="92" t="s">
        <v>770</v>
      </c>
      <c r="AA72" s="92" t="s">
        <v>1236</v>
      </c>
      <c r="AB72" s="92" t="s">
        <v>778</v>
      </c>
      <c r="AC72" s="92" t="s">
        <v>1002</v>
      </c>
      <c r="AD72" s="92" t="s">
        <v>1266</v>
      </c>
      <c r="AE72" s="92"/>
      <c r="AF72" s="92"/>
    </row>
    <row r="73" spans="1:32" ht="12.75" customHeight="1">
      <c r="A73" s="92" t="s">
        <v>892</v>
      </c>
      <c r="B73" s="92" t="s">
        <v>1001</v>
      </c>
      <c r="C73" s="92" t="s">
        <v>922</v>
      </c>
      <c r="D73" s="92"/>
      <c r="E73" s="92" t="s">
        <v>49</v>
      </c>
      <c r="F73" s="92"/>
      <c r="G73" s="157">
        <v>9841254</v>
      </c>
      <c r="H73" s="157">
        <v>18042482</v>
      </c>
      <c r="I73" s="156" t="s">
        <v>772</v>
      </c>
      <c r="J73" s="157">
        <v>3</v>
      </c>
      <c r="K73" s="157">
        <v>21</v>
      </c>
      <c r="L73" s="96">
        <v>-30000</v>
      </c>
      <c r="M73" s="100">
        <v>44286</v>
      </c>
      <c r="N73" s="100">
        <v>44286</v>
      </c>
      <c r="O73" s="100">
        <v>44249</v>
      </c>
      <c r="P73" s="92" t="s">
        <v>1510</v>
      </c>
      <c r="Q73" s="92" t="s">
        <v>1511</v>
      </c>
      <c r="R73" s="92"/>
      <c r="S73" s="92">
        <v>0</v>
      </c>
      <c r="T73" s="92" t="s">
        <v>1512</v>
      </c>
      <c r="U73" s="92"/>
      <c r="V73" s="92"/>
      <c r="W73" s="92" t="s">
        <v>773</v>
      </c>
      <c r="X73" s="92"/>
      <c r="Y73" s="92" t="s">
        <v>606</v>
      </c>
      <c r="Z73" s="92" t="s">
        <v>770</v>
      </c>
      <c r="AA73" s="92" t="s">
        <v>1299</v>
      </c>
      <c r="AB73" s="92" t="s">
        <v>778</v>
      </c>
      <c r="AC73" s="92" t="s">
        <v>1002</v>
      </c>
      <c r="AD73" s="92" t="s">
        <v>1513</v>
      </c>
      <c r="AE73" s="92"/>
      <c r="AF73" s="92"/>
    </row>
    <row r="74" spans="1:32" ht="12.75" customHeight="1">
      <c r="A74" s="92" t="s">
        <v>892</v>
      </c>
      <c r="B74" s="92" t="s">
        <v>52</v>
      </c>
      <c r="C74" s="92" t="s">
        <v>922</v>
      </c>
      <c r="D74" s="92"/>
      <c r="E74" s="92" t="s">
        <v>768</v>
      </c>
      <c r="F74" s="92"/>
      <c r="G74" s="157">
        <v>9848091</v>
      </c>
      <c r="H74" s="157">
        <v>1384201</v>
      </c>
      <c r="I74" s="156" t="s">
        <v>769</v>
      </c>
      <c r="J74" s="157">
        <v>3</v>
      </c>
      <c r="K74" s="157">
        <v>21</v>
      </c>
      <c r="L74" s="96">
        <v>30000</v>
      </c>
      <c r="M74" s="100">
        <v>44252</v>
      </c>
      <c r="N74" s="100">
        <v>44265</v>
      </c>
      <c r="O74" s="100">
        <v>44265</v>
      </c>
      <c r="P74" s="92" t="s">
        <v>1514</v>
      </c>
      <c r="Q74" s="92" t="s">
        <v>710</v>
      </c>
      <c r="R74" s="92" t="s">
        <v>1515</v>
      </c>
      <c r="S74" s="92" t="s">
        <v>1116</v>
      </c>
      <c r="T74" s="92" t="s">
        <v>1516</v>
      </c>
      <c r="U74" s="92"/>
      <c r="V74" s="92"/>
      <c r="W74" s="92"/>
      <c r="X74" s="92"/>
      <c r="Y74" s="92" t="s">
        <v>606</v>
      </c>
      <c r="Z74" s="92" t="s">
        <v>770</v>
      </c>
      <c r="AA74" s="92" t="s">
        <v>1236</v>
      </c>
      <c r="AB74" s="92" t="s">
        <v>778</v>
      </c>
      <c r="AC74" s="92" t="s">
        <v>782</v>
      </c>
      <c r="AD74" s="92" t="s">
        <v>1107</v>
      </c>
      <c r="AE74" s="92"/>
      <c r="AF74" s="92"/>
    </row>
    <row r="75" spans="1:32" ht="12.75" customHeight="1">
      <c r="A75" s="92" t="s">
        <v>892</v>
      </c>
      <c r="B75" s="92" t="s">
        <v>1023</v>
      </c>
      <c r="C75" s="92" t="s">
        <v>922</v>
      </c>
      <c r="D75" s="92"/>
      <c r="E75" s="92" t="s">
        <v>768</v>
      </c>
      <c r="F75" s="92"/>
      <c r="G75" s="157">
        <v>9852688</v>
      </c>
      <c r="H75" s="157">
        <v>1386244</v>
      </c>
      <c r="I75" s="156" t="s">
        <v>769</v>
      </c>
      <c r="J75" s="157">
        <v>3</v>
      </c>
      <c r="K75" s="157">
        <v>21</v>
      </c>
      <c r="L75" s="96">
        <v>300400</v>
      </c>
      <c r="M75" s="100">
        <v>44042</v>
      </c>
      <c r="N75" s="100">
        <v>44272</v>
      </c>
      <c r="O75" s="100">
        <v>44272</v>
      </c>
      <c r="P75" s="92" t="s">
        <v>1517</v>
      </c>
      <c r="Q75" s="92" t="s">
        <v>642</v>
      </c>
      <c r="R75" s="92" t="s">
        <v>1518</v>
      </c>
      <c r="S75" s="92" t="s">
        <v>1519</v>
      </c>
      <c r="T75" s="92" t="s">
        <v>1520</v>
      </c>
      <c r="U75" s="92"/>
      <c r="V75" s="92"/>
      <c r="W75" s="92"/>
      <c r="X75" s="92"/>
      <c r="Y75" s="92" t="s">
        <v>606</v>
      </c>
      <c r="Z75" s="92" t="s">
        <v>770</v>
      </c>
      <c r="AA75" s="92" t="s">
        <v>1236</v>
      </c>
      <c r="AB75" s="92" t="s">
        <v>778</v>
      </c>
      <c r="AC75" s="92" t="s">
        <v>1024</v>
      </c>
      <c r="AD75" s="92" t="s">
        <v>1172</v>
      </c>
      <c r="AE75" s="92"/>
      <c r="AF75" s="92"/>
    </row>
    <row r="76" spans="1:32" ht="12.75" customHeight="1">
      <c r="A76" s="92" t="s">
        <v>892</v>
      </c>
      <c r="B76" s="92" t="s">
        <v>1023</v>
      </c>
      <c r="C76" s="92" t="s">
        <v>922</v>
      </c>
      <c r="D76" s="92"/>
      <c r="E76" s="92" t="s">
        <v>768</v>
      </c>
      <c r="F76" s="92"/>
      <c r="G76" s="157">
        <v>9858125</v>
      </c>
      <c r="H76" s="157">
        <v>1387511</v>
      </c>
      <c r="I76" s="156" t="s">
        <v>769</v>
      </c>
      <c r="J76" s="157">
        <v>3</v>
      </c>
      <c r="K76" s="157">
        <v>21</v>
      </c>
      <c r="L76" s="96">
        <v>280000</v>
      </c>
      <c r="M76" s="100">
        <v>44279</v>
      </c>
      <c r="N76" s="100">
        <v>44281</v>
      </c>
      <c r="O76" s="100">
        <v>44281</v>
      </c>
      <c r="P76" s="92" t="s">
        <v>1557</v>
      </c>
      <c r="Q76" s="92" t="s">
        <v>807</v>
      </c>
      <c r="R76" s="92" t="s">
        <v>1558</v>
      </c>
      <c r="S76" s="92" t="s">
        <v>832</v>
      </c>
      <c r="T76" s="92" t="s">
        <v>1559</v>
      </c>
      <c r="U76" s="92"/>
      <c r="V76" s="92"/>
      <c r="W76" s="92"/>
      <c r="X76" s="92"/>
      <c r="Y76" s="92" t="s">
        <v>606</v>
      </c>
      <c r="Z76" s="92" t="s">
        <v>770</v>
      </c>
      <c r="AA76" s="92" t="s">
        <v>1236</v>
      </c>
      <c r="AB76" s="92" t="s">
        <v>778</v>
      </c>
      <c r="AC76" s="92" t="s">
        <v>1024</v>
      </c>
      <c r="AD76" s="92" t="s">
        <v>1122</v>
      </c>
      <c r="AE76" s="92"/>
      <c r="AF76" s="92"/>
    </row>
    <row r="77" spans="1:32" ht="12.75" customHeight="1">
      <c r="A77" s="92" t="s">
        <v>892</v>
      </c>
      <c r="B77" s="92" t="s">
        <v>1023</v>
      </c>
      <c r="C77" s="92" t="s">
        <v>922</v>
      </c>
      <c r="D77" s="92"/>
      <c r="E77" s="92" t="s">
        <v>49</v>
      </c>
      <c r="F77" s="92"/>
      <c r="G77" s="157">
        <v>9834803</v>
      </c>
      <c r="H77" s="157">
        <v>17902491</v>
      </c>
      <c r="I77" s="156" t="s">
        <v>772</v>
      </c>
      <c r="J77" s="157">
        <v>3</v>
      </c>
      <c r="K77" s="157">
        <v>21</v>
      </c>
      <c r="L77" s="96">
        <v>-3800</v>
      </c>
      <c r="M77" s="100">
        <v>44286</v>
      </c>
      <c r="N77" s="100">
        <v>44286</v>
      </c>
      <c r="O77" s="100">
        <v>44232</v>
      </c>
      <c r="P77" s="92" t="s">
        <v>1521</v>
      </c>
      <c r="Q77" s="92" t="s">
        <v>1391</v>
      </c>
      <c r="R77" s="92"/>
      <c r="S77" s="92">
        <v>0</v>
      </c>
      <c r="T77" s="92" t="s">
        <v>1522</v>
      </c>
      <c r="U77" s="92"/>
      <c r="V77" s="92"/>
      <c r="W77" s="92" t="s">
        <v>1251</v>
      </c>
      <c r="X77" s="92"/>
      <c r="Y77" s="92" t="s">
        <v>606</v>
      </c>
      <c r="Z77" s="92" t="s">
        <v>770</v>
      </c>
      <c r="AA77" s="92" t="s">
        <v>1294</v>
      </c>
      <c r="AB77" s="92" t="s">
        <v>778</v>
      </c>
      <c r="AC77" s="92" t="s">
        <v>1024</v>
      </c>
      <c r="AD77" s="92" t="s">
        <v>1523</v>
      </c>
      <c r="AE77" s="92"/>
      <c r="AF77" s="92"/>
    </row>
    <row r="78" spans="1:32" ht="12.75" customHeight="1">
      <c r="A78" s="92" t="s">
        <v>620</v>
      </c>
      <c r="B78" s="92" t="s">
        <v>68</v>
      </c>
      <c r="C78" s="92" t="s">
        <v>922</v>
      </c>
      <c r="D78" s="92"/>
      <c r="E78" s="92" t="s">
        <v>768</v>
      </c>
      <c r="F78" s="92"/>
      <c r="G78" s="157">
        <v>9856235</v>
      </c>
      <c r="H78" s="157">
        <v>1387113</v>
      </c>
      <c r="I78" s="156" t="s">
        <v>769</v>
      </c>
      <c r="J78" s="157">
        <v>3</v>
      </c>
      <c r="K78" s="157">
        <v>21</v>
      </c>
      <c r="L78" s="96">
        <v>64724.19</v>
      </c>
      <c r="M78" s="100">
        <v>44272</v>
      </c>
      <c r="N78" s="100">
        <v>44279</v>
      </c>
      <c r="O78" s="100">
        <v>44279</v>
      </c>
      <c r="P78" s="92" t="s">
        <v>1560</v>
      </c>
      <c r="Q78" s="92" t="s">
        <v>1561</v>
      </c>
      <c r="R78" s="92" t="s">
        <v>1562</v>
      </c>
      <c r="S78" s="92" t="s">
        <v>1563</v>
      </c>
      <c r="T78" s="92" t="s">
        <v>1564</v>
      </c>
      <c r="U78" s="92"/>
      <c r="V78" s="92"/>
      <c r="W78" s="92"/>
      <c r="X78" s="92"/>
      <c r="Y78" s="92" t="s">
        <v>606</v>
      </c>
      <c r="Z78" s="92" t="s">
        <v>770</v>
      </c>
      <c r="AA78" s="92" t="s">
        <v>1236</v>
      </c>
      <c r="AB78" s="92" t="s">
        <v>778</v>
      </c>
      <c r="AC78" s="92" t="s">
        <v>784</v>
      </c>
      <c r="AD78" s="92" t="s">
        <v>1565</v>
      </c>
      <c r="AE78" s="92"/>
      <c r="AF78" s="92"/>
    </row>
    <row r="79" spans="1:32" ht="12.75" customHeight="1">
      <c r="A79" s="92" t="s">
        <v>620</v>
      </c>
      <c r="B79" s="92" t="s">
        <v>57</v>
      </c>
      <c r="C79" s="92" t="s">
        <v>922</v>
      </c>
      <c r="D79" s="92"/>
      <c r="E79" s="92" t="s">
        <v>49</v>
      </c>
      <c r="F79" s="92"/>
      <c r="G79" s="157">
        <v>9834798</v>
      </c>
      <c r="H79" s="157">
        <v>17902490</v>
      </c>
      <c r="I79" s="156" t="s">
        <v>772</v>
      </c>
      <c r="J79" s="157">
        <v>3</v>
      </c>
      <c r="K79" s="157">
        <v>21</v>
      </c>
      <c r="L79" s="96">
        <v>-25000</v>
      </c>
      <c r="M79" s="100">
        <v>44286</v>
      </c>
      <c r="N79" s="100">
        <v>44286</v>
      </c>
      <c r="O79" s="100">
        <v>44232</v>
      </c>
      <c r="P79" s="92" t="s">
        <v>1524</v>
      </c>
      <c r="Q79" s="92" t="s">
        <v>1391</v>
      </c>
      <c r="R79" s="92"/>
      <c r="S79" s="92">
        <v>0</v>
      </c>
      <c r="T79" s="92" t="s">
        <v>1525</v>
      </c>
      <c r="U79" s="92"/>
      <c r="V79" s="92"/>
      <c r="W79" s="92" t="s">
        <v>1251</v>
      </c>
      <c r="X79" s="92"/>
      <c r="Y79" s="92" t="s">
        <v>606</v>
      </c>
      <c r="Z79" s="92" t="s">
        <v>770</v>
      </c>
      <c r="AA79" s="92" t="s">
        <v>1294</v>
      </c>
      <c r="AB79" s="92" t="s">
        <v>778</v>
      </c>
      <c r="AC79" s="92" t="s">
        <v>932</v>
      </c>
      <c r="AD79" s="92" t="s">
        <v>1526</v>
      </c>
      <c r="AE79" s="92"/>
      <c r="AF79" s="92"/>
    </row>
    <row r="80" spans="1:32" ht="12.75" customHeight="1">
      <c r="A80" s="92" t="s">
        <v>620</v>
      </c>
      <c r="B80" s="92" t="s">
        <v>55</v>
      </c>
      <c r="C80" s="92" t="s">
        <v>922</v>
      </c>
      <c r="D80" s="92"/>
      <c r="E80" s="92" t="s">
        <v>49</v>
      </c>
      <c r="F80" s="92"/>
      <c r="G80" s="157">
        <v>9843878</v>
      </c>
      <c r="H80" s="157">
        <v>18043558</v>
      </c>
      <c r="I80" s="156" t="s">
        <v>772</v>
      </c>
      <c r="J80" s="157">
        <v>3</v>
      </c>
      <c r="K80" s="157">
        <v>21</v>
      </c>
      <c r="L80" s="96">
        <v>-20000</v>
      </c>
      <c r="M80" s="100">
        <v>44256</v>
      </c>
      <c r="N80" s="100">
        <v>44256</v>
      </c>
      <c r="O80" s="100">
        <v>44254</v>
      </c>
      <c r="P80" s="92" t="s">
        <v>1527</v>
      </c>
      <c r="Q80" s="92" t="s">
        <v>1528</v>
      </c>
      <c r="R80" s="92"/>
      <c r="S80" s="92">
        <v>0</v>
      </c>
      <c r="T80" s="92" t="s">
        <v>1529</v>
      </c>
      <c r="U80" s="92"/>
      <c r="V80" s="92"/>
      <c r="W80" s="92"/>
      <c r="X80" s="92"/>
      <c r="Y80" s="92" t="s">
        <v>606</v>
      </c>
      <c r="Z80" s="92" t="s">
        <v>770</v>
      </c>
      <c r="AA80" s="92" t="s">
        <v>1014</v>
      </c>
      <c r="AB80" s="92" t="s">
        <v>1253</v>
      </c>
      <c r="AC80" s="92" t="s">
        <v>779</v>
      </c>
      <c r="AD80" s="92" t="s">
        <v>1303</v>
      </c>
      <c r="AE80" s="92"/>
      <c r="AF80" s="92"/>
    </row>
    <row r="81" spans="1:32" ht="12.75" customHeight="1">
      <c r="A81" s="92" t="s">
        <v>620</v>
      </c>
      <c r="B81" s="92" t="s">
        <v>65</v>
      </c>
      <c r="C81" s="92" t="s">
        <v>922</v>
      </c>
      <c r="D81" s="92"/>
      <c r="E81" s="92" t="s">
        <v>49</v>
      </c>
      <c r="F81" s="92"/>
      <c r="G81" s="157">
        <v>9843886</v>
      </c>
      <c r="H81" s="157">
        <v>18043562</v>
      </c>
      <c r="I81" s="156" t="s">
        <v>772</v>
      </c>
      <c r="J81" s="157">
        <v>3</v>
      </c>
      <c r="K81" s="157">
        <v>21</v>
      </c>
      <c r="L81" s="96">
        <v>-419625</v>
      </c>
      <c r="M81" s="100">
        <v>44256</v>
      </c>
      <c r="N81" s="100">
        <v>44256</v>
      </c>
      <c r="O81" s="100">
        <v>44254</v>
      </c>
      <c r="P81" s="92" t="s">
        <v>1530</v>
      </c>
      <c r="Q81" s="92" t="s">
        <v>1531</v>
      </c>
      <c r="R81" s="92"/>
      <c r="S81" s="92">
        <v>0</v>
      </c>
      <c r="T81" s="92" t="s">
        <v>1429</v>
      </c>
      <c r="U81" s="92"/>
      <c r="V81" s="92"/>
      <c r="W81" s="92"/>
      <c r="X81" s="92"/>
      <c r="Y81" s="92" t="s">
        <v>606</v>
      </c>
      <c r="Z81" s="92" t="s">
        <v>770</v>
      </c>
      <c r="AA81" s="92" t="s">
        <v>1014</v>
      </c>
      <c r="AB81" s="92" t="s">
        <v>1253</v>
      </c>
      <c r="AC81" s="92" t="s">
        <v>780</v>
      </c>
      <c r="AD81" s="92" t="s">
        <v>1091</v>
      </c>
      <c r="AE81" s="92"/>
      <c r="AF81" s="92"/>
    </row>
    <row r="82" spans="1:32" ht="12.75" customHeight="1">
      <c r="A82" s="92" t="s">
        <v>620</v>
      </c>
      <c r="B82" s="92" t="s">
        <v>65</v>
      </c>
      <c r="C82" s="92" t="s">
        <v>922</v>
      </c>
      <c r="D82" s="92"/>
      <c r="E82" s="92" t="s">
        <v>768</v>
      </c>
      <c r="F82" s="92"/>
      <c r="G82" s="157">
        <v>9854076</v>
      </c>
      <c r="H82" s="157">
        <v>1386738</v>
      </c>
      <c r="I82" s="156" t="s">
        <v>769</v>
      </c>
      <c r="J82" s="157">
        <v>3</v>
      </c>
      <c r="K82" s="157">
        <v>21</v>
      </c>
      <c r="L82" s="96">
        <v>45000</v>
      </c>
      <c r="M82" s="100">
        <v>44246</v>
      </c>
      <c r="N82" s="100">
        <v>44274</v>
      </c>
      <c r="O82" s="100">
        <v>44274</v>
      </c>
      <c r="P82" s="92" t="s">
        <v>1532</v>
      </c>
      <c r="Q82" s="92" t="s">
        <v>1349</v>
      </c>
      <c r="R82" s="92" t="s">
        <v>1533</v>
      </c>
      <c r="S82" s="92" t="s">
        <v>1426</v>
      </c>
      <c r="T82" s="92" t="s">
        <v>1425</v>
      </c>
      <c r="U82" s="92"/>
      <c r="V82" s="92"/>
      <c r="W82" s="92"/>
      <c r="X82" s="92"/>
      <c r="Y82" s="92" t="s">
        <v>606</v>
      </c>
      <c r="Z82" s="92" t="s">
        <v>770</v>
      </c>
      <c r="AA82" s="92" t="s">
        <v>1236</v>
      </c>
      <c r="AB82" s="92" t="s">
        <v>778</v>
      </c>
      <c r="AC82" s="92" t="s">
        <v>780</v>
      </c>
      <c r="AD82" s="92" t="s">
        <v>1534</v>
      </c>
      <c r="AE82" s="92"/>
      <c r="AF82" s="92"/>
    </row>
    <row r="83" spans="1:32" ht="12.75" customHeight="1">
      <c r="A83" s="98" t="s">
        <v>620</v>
      </c>
      <c r="B83" s="98" t="s">
        <v>65</v>
      </c>
      <c r="C83" s="98" t="s">
        <v>922</v>
      </c>
      <c r="D83" s="98"/>
      <c r="E83" s="98" t="s">
        <v>768</v>
      </c>
      <c r="F83" s="98"/>
      <c r="G83" s="157">
        <v>9857599</v>
      </c>
      <c r="H83" s="157">
        <v>1387449</v>
      </c>
      <c r="I83" s="157" t="s">
        <v>769</v>
      </c>
      <c r="J83" s="157">
        <v>3</v>
      </c>
      <c r="K83" s="157">
        <v>21</v>
      </c>
      <c r="L83" s="187">
        <v>15000</v>
      </c>
      <c r="M83" s="101">
        <v>44279</v>
      </c>
      <c r="N83" s="101">
        <v>44281</v>
      </c>
      <c r="O83" s="101">
        <v>44281</v>
      </c>
      <c r="P83" s="98" t="s">
        <v>1566</v>
      </c>
      <c r="Q83" s="98" t="s">
        <v>630</v>
      </c>
      <c r="R83" s="98" t="s">
        <v>1567</v>
      </c>
      <c r="S83" s="98" t="s">
        <v>1568</v>
      </c>
      <c r="T83" s="98" t="s">
        <v>1569</v>
      </c>
      <c r="U83" s="98"/>
      <c r="V83" s="98"/>
      <c r="W83" s="98"/>
      <c r="X83" s="98"/>
      <c r="Y83" s="98" t="s">
        <v>606</v>
      </c>
      <c r="Z83" s="98" t="s">
        <v>770</v>
      </c>
      <c r="AA83" s="98" t="s">
        <v>1236</v>
      </c>
      <c r="AB83" s="98" t="s">
        <v>778</v>
      </c>
      <c r="AC83" s="98" t="s">
        <v>780</v>
      </c>
      <c r="AD83" s="98" t="s">
        <v>1570</v>
      </c>
      <c r="AE83" s="98"/>
      <c r="AF83" s="98"/>
    </row>
    <row r="84" spans="1:32" ht="12.75" customHeight="1">
      <c r="A84" s="102" t="s">
        <v>602</v>
      </c>
      <c r="B84" s="102"/>
      <c r="C84" s="102"/>
      <c r="D84" s="102"/>
      <c r="E84" s="102"/>
      <c r="F84" s="102"/>
      <c r="G84" s="160"/>
      <c r="H84" s="160"/>
      <c r="I84" s="160"/>
      <c r="J84" s="160"/>
      <c r="K84" s="160"/>
      <c r="L84" s="186">
        <v>1313545.56</v>
      </c>
      <c r="M84" s="102"/>
      <c r="N84" s="102"/>
      <c r="O84" s="102"/>
      <c r="P84" s="102"/>
      <c r="Q84" s="102"/>
      <c r="R84" s="102"/>
      <c r="S84" s="102"/>
      <c r="T84" s="102"/>
      <c r="U84" s="102"/>
      <c r="V84" s="102"/>
      <c r="W84" s="102"/>
      <c r="X84" s="102"/>
      <c r="Y84" s="102"/>
      <c r="Z84" s="102"/>
      <c r="AA84" s="102"/>
      <c r="AB84" s="102"/>
      <c r="AC84" s="102"/>
      <c r="AD84" s="102"/>
      <c r="AE84" s="102"/>
      <c r="AF84" s="102"/>
    </row>
    <row r="86" spans="1:32" ht="31.5">
      <c r="A86" s="91" t="s">
        <v>746</v>
      </c>
      <c r="B86" s="91" t="s">
        <v>604</v>
      </c>
      <c r="C86" s="91" t="s">
        <v>747</v>
      </c>
      <c r="D86" s="91" t="s">
        <v>608</v>
      </c>
      <c r="E86" s="91" t="s">
        <v>749</v>
      </c>
      <c r="F86" s="91" t="s">
        <v>921</v>
      </c>
      <c r="G86" s="159" t="s">
        <v>748</v>
      </c>
      <c r="H86" s="159" t="s">
        <v>750</v>
      </c>
      <c r="I86" s="159" t="s">
        <v>751</v>
      </c>
      <c r="J86" s="159" t="s">
        <v>752</v>
      </c>
      <c r="K86" s="159" t="s">
        <v>753</v>
      </c>
      <c r="L86" s="91" t="s">
        <v>754</v>
      </c>
      <c r="M86" s="91" t="s">
        <v>767</v>
      </c>
      <c r="N86" s="91" t="s">
        <v>918</v>
      </c>
      <c r="O86" s="91" t="s">
        <v>2</v>
      </c>
      <c r="P86" s="91" t="s">
        <v>755</v>
      </c>
      <c r="Q86" s="91" t="s">
        <v>605</v>
      </c>
      <c r="R86" s="91" t="s">
        <v>756</v>
      </c>
      <c r="S86" s="91" t="s">
        <v>946</v>
      </c>
      <c r="T86" s="91" t="s">
        <v>761</v>
      </c>
      <c r="U86" s="91" t="s">
        <v>760</v>
      </c>
      <c r="V86" s="91" t="s">
        <v>1361</v>
      </c>
      <c r="W86" s="91" t="s">
        <v>757</v>
      </c>
      <c r="X86" s="91" t="s">
        <v>758</v>
      </c>
      <c r="Y86" s="91" t="s">
        <v>759</v>
      </c>
      <c r="Z86" s="91" t="s">
        <v>762</v>
      </c>
      <c r="AA86" s="91" t="s">
        <v>763</v>
      </c>
      <c r="AB86" s="91" t="s">
        <v>764</v>
      </c>
      <c r="AC86" s="91" t="s">
        <v>765</v>
      </c>
      <c r="AD86" s="91" t="s">
        <v>766</v>
      </c>
      <c r="AE86" s="91" t="s">
        <v>919</v>
      </c>
      <c r="AF86" s="91" t="s">
        <v>920</v>
      </c>
    </row>
    <row r="87" spans="1:32" ht="12.75" customHeight="1">
      <c r="A87" s="92" t="s">
        <v>703</v>
      </c>
      <c r="B87" s="92" t="s">
        <v>53</v>
      </c>
      <c r="C87" s="92" t="s">
        <v>922</v>
      </c>
      <c r="D87" s="92"/>
      <c r="E87" s="92" t="s">
        <v>49</v>
      </c>
      <c r="F87" s="92"/>
      <c r="G87" s="156">
        <v>9845354</v>
      </c>
      <c r="H87" s="156">
        <v>18046153</v>
      </c>
      <c r="I87" s="156" t="s">
        <v>772</v>
      </c>
      <c r="J87" s="156">
        <v>4</v>
      </c>
      <c r="K87" s="156">
        <v>21</v>
      </c>
      <c r="L87" s="96">
        <v>-90000</v>
      </c>
      <c r="M87" s="92" t="s">
        <v>1439</v>
      </c>
      <c r="N87" s="100">
        <v>44287</v>
      </c>
      <c r="O87" s="100">
        <v>44287</v>
      </c>
      <c r="P87" s="100">
        <v>44259</v>
      </c>
      <c r="Q87" s="92" t="s">
        <v>1571</v>
      </c>
      <c r="R87" s="92" t="s">
        <v>1571</v>
      </c>
      <c r="S87" s="92"/>
      <c r="T87" s="92">
        <v>0</v>
      </c>
      <c r="U87" s="92" t="s">
        <v>1438</v>
      </c>
      <c r="V87" s="92"/>
      <c r="W87" s="92"/>
      <c r="X87" s="92"/>
      <c r="Y87" s="92"/>
      <c r="Z87" s="92" t="s">
        <v>606</v>
      </c>
      <c r="AA87" s="92" t="s">
        <v>770</v>
      </c>
      <c r="AB87" s="92" t="s">
        <v>1280</v>
      </c>
      <c r="AC87" s="92" t="s">
        <v>1288</v>
      </c>
      <c r="AD87" s="92" t="s">
        <v>912</v>
      </c>
      <c r="AE87" s="92"/>
      <c r="AF87" s="92"/>
    </row>
    <row r="88" spans="1:32" ht="12.75" customHeight="1">
      <c r="A88" s="92" t="s">
        <v>703</v>
      </c>
      <c r="B88" s="92" t="s">
        <v>53</v>
      </c>
      <c r="C88" s="92" t="s">
        <v>922</v>
      </c>
      <c r="D88" s="92"/>
      <c r="E88" s="92" t="s">
        <v>49</v>
      </c>
      <c r="F88" s="92"/>
      <c r="G88" s="156">
        <v>9850397</v>
      </c>
      <c r="H88" s="156">
        <v>18048442</v>
      </c>
      <c r="I88" s="156" t="s">
        <v>772</v>
      </c>
      <c r="J88" s="156">
        <v>4</v>
      </c>
      <c r="K88" s="156">
        <v>21</v>
      </c>
      <c r="L88" s="96">
        <v>-825000</v>
      </c>
      <c r="M88" s="92" t="s">
        <v>1572</v>
      </c>
      <c r="N88" s="100">
        <v>44287</v>
      </c>
      <c r="O88" s="100">
        <v>44287</v>
      </c>
      <c r="P88" s="100">
        <v>44267</v>
      </c>
      <c r="Q88" s="92" t="s">
        <v>1573</v>
      </c>
      <c r="R88" s="92" t="s">
        <v>1573</v>
      </c>
      <c r="S88" s="92"/>
      <c r="T88" s="92">
        <v>0</v>
      </c>
      <c r="U88" s="92" t="s">
        <v>1574</v>
      </c>
      <c r="V88" s="92"/>
      <c r="W88" s="92"/>
      <c r="X88" s="92"/>
      <c r="Y88" s="92"/>
      <c r="Z88" s="92" t="s">
        <v>606</v>
      </c>
      <c r="AA88" s="92" t="s">
        <v>770</v>
      </c>
      <c r="AB88" s="92" t="s">
        <v>1280</v>
      </c>
      <c r="AC88" s="92" t="s">
        <v>1288</v>
      </c>
      <c r="AD88" s="92" t="s">
        <v>912</v>
      </c>
      <c r="AE88" s="92"/>
      <c r="AF88" s="92"/>
    </row>
    <row r="89" spans="1:32" ht="12.75" customHeight="1">
      <c r="A89" s="92" t="s">
        <v>703</v>
      </c>
      <c r="B89" s="92" t="s">
        <v>53</v>
      </c>
      <c r="C89" s="92" t="s">
        <v>922</v>
      </c>
      <c r="D89" s="92"/>
      <c r="E89" s="92" t="s">
        <v>49</v>
      </c>
      <c r="F89" s="92"/>
      <c r="G89" s="156">
        <v>9850435</v>
      </c>
      <c r="H89" s="156">
        <v>18048449</v>
      </c>
      <c r="I89" s="156" t="s">
        <v>772</v>
      </c>
      <c r="J89" s="156">
        <v>4</v>
      </c>
      <c r="K89" s="156">
        <v>21</v>
      </c>
      <c r="L89" s="96">
        <v>-6000</v>
      </c>
      <c r="M89" s="92" t="s">
        <v>1575</v>
      </c>
      <c r="N89" s="100">
        <v>44287</v>
      </c>
      <c r="O89" s="100">
        <v>44287</v>
      </c>
      <c r="P89" s="100">
        <v>44267</v>
      </c>
      <c r="Q89" s="92" t="s">
        <v>1576</v>
      </c>
      <c r="R89" s="92" t="s">
        <v>1576</v>
      </c>
      <c r="S89" s="92"/>
      <c r="T89" s="92">
        <v>0</v>
      </c>
      <c r="U89" s="92" t="s">
        <v>1577</v>
      </c>
      <c r="V89" s="92"/>
      <c r="W89" s="92"/>
      <c r="X89" s="92"/>
      <c r="Y89" s="92"/>
      <c r="Z89" s="92" t="s">
        <v>606</v>
      </c>
      <c r="AA89" s="92" t="s">
        <v>770</v>
      </c>
      <c r="AB89" s="92" t="s">
        <v>1280</v>
      </c>
      <c r="AC89" s="92" t="s">
        <v>1288</v>
      </c>
      <c r="AD89" s="92" t="s">
        <v>912</v>
      </c>
      <c r="AE89" s="92"/>
      <c r="AF89" s="92"/>
    </row>
    <row r="90" spans="1:32" ht="12.75" customHeight="1">
      <c r="A90" s="92" t="s">
        <v>703</v>
      </c>
      <c r="B90" s="92" t="s">
        <v>53</v>
      </c>
      <c r="C90" s="92" t="s">
        <v>922</v>
      </c>
      <c r="D90" s="92"/>
      <c r="E90" s="92" t="s">
        <v>768</v>
      </c>
      <c r="F90" s="92"/>
      <c r="G90" s="156">
        <v>9859707</v>
      </c>
      <c r="H90" s="156">
        <v>1387652</v>
      </c>
      <c r="I90" s="156" t="s">
        <v>769</v>
      </c>
      <c r="J90" s="156">
        <v>4</v>
      </c>
      <c r="K90" s="156">
        <v>21</v>
      </c>
      <c r="L90" s="96">
        <v>74800</v>
      </c>
      <c r="M90" s="92" t="s">
        <v>1247</v>
      </c>
      <c r="N90" s="100">
        <v>44281</v>
      </c>
      <c r="O90" s="100">
        <v>44287</v>
      </c>
      <c r="P90" s="100">
        <v>44287</v>
      </c>
      <c r="Q90" s="92" t="s">
        <v>1578</v>
      </c>
      <c r="R90" s="92" t="s">
        <v>612</v>
      </c>
      <c r="S90" s="92" t="s">
        <v>1579</v>
      </c>
      <c r="T90" s="92" t="s">
        <v>1580</v>
      </c>
      <c r="U90" s="92" t="s">
        <v>1581</v>
      </c>
      <c r="V90" s="92"/>
      <c r="W90" s="92"/>
      <c r="X90" s="92"/>
      <c r="Y90" s="92"/>
      <c r="Z90" s="92" t="s">
        <v>606</v>
      </c>
      <c r="AA90" s="92" t="s">
        <v>770</v>
      </c>
      <c r="AB90" s="92" t="s">
        <v>1236</v>
      </c>
      <c r="AC90" s="92" t="s">
        <v>778</v>
      </c>
      <c r="AD90" s="92" t="s">
        <v>912</v>
      </c>
      <c r="AE90" s="92"/>
      <c r="AF90" s="92"/>
    </row>
    <row r="91" spans="1:32" ht="12.75" customHeight="1">
      <c r="A91" s="92" t="s">
        <v>703</v>
      </c>
      <c r="B91" s="92" t="s">
        <v>53</v>
      </c>
      <c r="C91" s="92" t="s">
        <v>922</v>
      </c>
      <c r="D91" s="92"/>
      <c r="E91" s="92" t="s">
        <v>49</v>
      </c>
      <c r="F91" s="92"/>
      <c r="G91" s="156">
        <v>9871394</v>
      </c>
      <c r="H91" s="156">
        <v>18052375</v>
      </c>
      <c r="I91" s="156" t="s">
        <v>772</v>
      </c>
      <c r="J91" s="156">
        <v>4</v>
      </c>
      <c r="K91" s="156">
        <v>21</v>
      </c>
      <c r="L91" s="96">
        <v>-448700</v>
      </c>
      <c r="M91" s="92" t="s">
        <v>1582</v>
      </c>
      <c r="N91" s="100">
        <v>44309</v>
      </c>
      <c r="O91" s="100">
        <v>44309</v>
      </c>
      <c r="P91" s="100">
        <v>44309</v>
      </c>
      <c r="Q91" s="92" t="s">
        <v>1583</v>
      </c>
      <c r="R91" s="92" t="s">
        <v>1583</v>
      </c>
      <c r="S91" s="92"/>
      <c r="T91" s="92">
        <v>0</v>
      </c>
      <c r="U91" s="92" t="s">
        <v>1584</v>
      </c>
      <c r="V91" s="92"/>
      <c r="W91" s="92"/>
      <c r="X91" s="92"/>
      <c r="Y91" s="92"/>
      <c r="Z91" s="92" t="s">
        <v>606</v>
      </c>
      <c r="AA91" s="92" t="s">
        <v>770</v>
      </c>
      <c r="AB91" s="92" t="s">
        <v>1280</v>
      </c>
      <c r="AC91" s="92" t="s">
        <v>778</v>
      </c>
      <c r="AD91" s="92" t="s">
        <v>912</v>
      </c>
      <c r="AE91" s="92"/>
      <c r="AF91" s="92"/>
    </row>
    <row r="92" spans="1:32" ht="12.75" customHeight="1">
      <c r="A92" s="92" t="s">
        <v>703</v>
      </c>
      <c r="B92" s="92" t="s">
        <v>53</v>
      </c>
      <c r="C92" s="92" t="s">
        <v>922</v>
      </c>
      <c r="D92" s="92"/>
      <c r="E92" s="92" t="s">
        <v>49</v>
      </c>
      <c r="F92" s="92"/>
      <c r="G92" s="156">
        <v>9871998</v>
      </c>
      <c r="H92" s="156">
        <v>18053182</v>
      </c>
      <c r="I92" s="156" t="s">
        <v>772</v>
      </c>
      <c r="J92" s="156">
        <v>4</v>
      </c>
      <c r="K92" s="156">
        <v>21</v>
      </c>
      <c r="L92" s="96">
        <v>-187380</v>
      </c>
      <c r="M92" s="92" t="s">
        <v>1585</v>
      </c>
      <c r="N92" s="100">
        <v>44312</v>
      </c>
      <c r="O92" s="100">
        <v>44312</v>
      </c>
      <c r="P92" s="100">
        <v>44312</v>
      </c>
      <c r="Q92" s="92" t="s">
        <v>1586</v>
      </c>
      <c r="R92" s="92" t="s">
        <v>1586</v>
      </c>
      <c r="S92" s="92"/>
      <c r="T92" s="92">
        <v>0</v>
      </c>
      <c r="U92" s="92" t="s">
        <v>1587</v>
      </c>
      <c r="V92" s="92"/>
      <c r="W92" s="92"/>
      <c r="X92" s="92"/>
      <c r="Y92" s="92"/>
      <c r="Z92" s="92" t="s">
        <v>606</v>
      </c>
      <c r="AA92" s="92" t="s">
        <v>770</v>
      </c>
      <c r="AB92" s="92" t="s">
        <v>1280</v>
      </c>
      <c r="AC92" s="92" t="s">
        <v>1253</v>
      </c>
      <c r="AD92" s="92" t="s">
        <v>912</v>
      </c>
      <c r="AE92" s="92"/>
      <c r="AF92" s="92"/>
    </row>
    <row r="93" spans="1:32" ht="12.75" customHeight="1">
      <c r="A93" s="92" t="s">
        <v>703</v>
      </c>
      <c r="B93" s="92" t="s">
        <v>1007</v>
      </c>
      <c r="C93" s="92" t="s">
        <v>922</v>
      </c>
      <c r="D93" s="92"/>
      <c r="E93" s="92" t="s">
        <v>49</v>
      </c>
      <c r="F93" s="92"/>
      <c r="G93" s="156">
        <v>9872649</v>
      </c>
      <c r="H93" s="156">
        <v>18053408</v>
      </c>
      <c r="I93" s="156" t="s">
        <v>772</v>
      </c>
      <c r="J93" s="156">
        <v>4</v>
      </c>
      <c r="K93" s="156">
        <v>21</v>
      </c>
      <c r="L93" s="96">
        <v>-995900</v>
      </c>
      <c r="M93" s="92" t="s">
        <v>1588</v>
      </c>
      <c r="N93" s="100">
        <v>44313</v>
      </c>
      <c r="O93" s="100">
        <v>44313</v>
      </c>
      <c r="P93" s="100">
        <v>44313</v>
      </c>
      <c r="Q93" s="92" t="s">
        <v>1589</v>
      </c>
      <c r="R93" s="92" t="s">
        <v>1590</v>
      </c>
      <c r="S93" s="92"/>
      <c r="T93" s="92">
        <v>0</v>
      </c>
      <c r="U93" s="92" t="s">
        <v>1591</v>
      </c>
      <c r="V93" s="92"/>
      <c r="W93" s="92"/>
      <c r="X93" s="92" t="s">
        <v>773</v>
      </c>
      <c r="Y93" s="92"/>
      <c r="Z93" s="92" t="s">
        <v>606</v>
      </c>
      <c r="AA93" s="92" t="s">
        <v>770</v>
      </c>
      <c r="AB93" s="92" t="s">
        <v>1299</v>
      </c>
      <c r="AC93" s="92" t="s">
        <v>1304</v>
      </c>
      <c r="AD93" s="92" t="s">
        <v>1008</v>
      </c>
      <c r="AE93" s="92"/>
      <c r="AF93" s="92"/>
    </row>
    <row r="94" spans="1:32" ht="12.75" customHeight="1">
      <c r="A94" s="92" t="s">
        <v>703</v>
      </c>
      <c r="B94" s="92" t="s">
        <v>58</v>
      </c>
      <c r="C94" s="92" t="s">
        <v>922</v>
      </c>
      <c r="D94" s="92"/>
      <c r="E94" s="92" t="s">
        <v>768</v>
      </c>
      <c r="F94" s="92"/>
      <c r="G94" s="156">
        <v>9859826</v>
      </c>
      <c r="H94" s="156">
        <v>1387765</v>
      </c>
      <c r="I94" s="156" t="s">
        <v>769</v>
      </c>
      <c r="J94" s="156">
        <v>4</v>
      </c>
      <c r="K94" s="156">
        <v>21</v>
      </c>
      <c r="L94" s="96">
        <v>92001.65</v>
      </c>
      <c r="M94" s="92" t="s">
        <v>1064</v>
      </c>
      <c r="N94" s="100">
        <v>44280</v>
      </c>
      <c r="O94" s="100">
        <v>44287</v>
      </c>
      <c r="P94" s="100">
        <v>44287</v>
      </c>
      <c r="Q94" s="92" t="s">
        <v>1592</v>
      </c>
      <c r="R94" s="92" t="s">
        <v>623</v>
      </c>
      <c r="S94" s="92" t="s">
        <v>1593</v>
      </c>
      <c r="T94" s="92" t="s">
        <v>1594</v>
      </c>
      <c r="U94" s="92" t="s">
        <v>1595</v>
      </c>
      <c r="V94" s="92"/>
      <c r="W94" s="92"/>
      <c r="X94" s="92"/>
      <c r="Y94" s="92"/>
      <c r="Z94" s="92" t="s">
        <v>606</v>
      </c>
      <c r="AA94" s="92" t="s">
        <v>770</v>
      </c>
      <c r="AB94" s="92" t="s">
        <v>1236</v>
      </c>
      <c r="AC94" s="92" t="s">
        <v>778</v>
      </c>
      <c r="AD94" s="92" t="s">
        <v>929</v>
      </c>
      <c r="AE94" s="92"/>
      <c r="AF94" s="92"/>
    </row>
    <row r="95" spans="1:32" ht="12.75" customHeight="1">
      <c r="A95" s="92" t="s">
        <v>703</v>
      </c>
      <c r="B95" s="92" t="s">
        <v>61</v>
      </c>
      <c r="C95" s="92" t="s">
        <v>922</v>
      </c>
      <c r="D95" s="92"/>
      <c r="E95" s="92" t="s">
        <v>768</v>
      </c>
      <c r="F95" s="92"/>
      <c r="G95" s="156">
        <v>9860851</v>
      </c>
      <c r="H95" s="156">
        <v>1388041</v>
      </c>
      <c r="I95" s="156" t="s">
        <v>769</v>
      </c>
      <c r="J95" s="156">
        <v>4</v>
      </c>
      <c r="K95" s="156">
        <v>21</v>
      </c>
      <c r="L95" s="96">
        <v>11692.55</v>
      </c>
      <c r="M95" s="92" t="s">
        <v>1596</v>
      </c>
      <c r="N95" s="100">
        <v>44285</v>
      </c>
      <c r="O95" s="100">
        <v>44288</v>
      </c>
      <c r="P95" s="100">
        <v>44288</v>
      </c>
      <c r="Q95" s="92" t="s">
        <v>1597</v>
      </c>
      <c r="R95" s="92" t="s">
        <v>1186</v>
      </c>
      <c r="S95" s="92" t="s">
        <v>1598</v>
      </c>
      <c r="T95" s="92" t="s">
        <v>1599</v>
      </c>
      <c r="U95" s="92" t="s">
        <v>1600</v>
      </c>
      <c r="V95" s="92"/>
      <c r="W95" s="92"/>
      <c r="X95" s="92"/>
      <c r="Y95" s="92"/>
      <c r="Z95" s="92" t="s">
        <v>606</v>
      </c>
      <c r="AA95" s="92" t="s">
        <v>770</v>
      </c>
      <c r="AB95" s="92" t="s">
        <v>1236</v>
      </c>
      <c r="AC95" s="92" t="s">
        <v>778</v>
      </c>
      <c r="AD95" s="92" t="s">
        <v>933</v>
      </c>
      <c r="AE95" s="92"/>
      <c r="AF95" s="92"/>
    </row>
    <row r="96" spans="1:32" ht="12.75" customHeight="1">
      <c r="A96" s="92" t="s">
        <v>703</v>
      </c>
      <c r="B96" s="92" t="s">
        <v>61</v>
      </c>
      <c r="C96" s="92" t="s">
        <v>922</v>
      </c>
      <c r="D96" s="92"/>
      <c r="E96" s="92" t="s">
        <v>775</v>
      </c>
      <c r="F96" s="92"/>
      <c r="G96" s="156">
        <v>9864122</v>
      </c>
      <c r="H96" s="156">
        <v>3818326</v>
      </c>
      <c r="I96" s="156" t="s">
        <v>776</v>
      </c>
      <c r="J96" s="156">
        <v>4</v>
      </c>
      <c r="K96" s="156">
        <v>21</v>
      </c>
      <c r="L96" s="96">
        <v>45419.79</v>
      </c>
      <c r="M96" s="92"/>
      <c r="N96" s="100">
        <v>44316</v>
      </c>
      <c r="O96" s="100">
        <v>44296</v>
      </c>
      <c r="P96" s="100">
        <v>44296</v>
      </c>
      <c r="Q96" s="92" t="s">
        <v>774</v>
      </c>
      <c r="R96" s="92" t="s">
        <v>1186</v>
      </c>
      <c r="S96" s="92"/>
      <c r="T96" s="92" t="s">
        <v>1599</v>
      </c>
      <c r="U96" s="92" t="s">
        <v>1601</v>
      </c>
      <c r="V96" s="92"/>
      <c r="W96" s="92"/>
      <c r="X96" s="92"/>
      <c r="Y96" s="92"/>
      <c r="Z96" s="92" t="s">
        <v>606</v>
      </c>
      <c r="AA96" s="92" t="s">
        <v>770</v>
      </c>
      <c r="AB96" s="92" t="s">
        <v>778</v>
      </c>
      <c r="AC96" s="92" t="s">
        <v>778</v>
      </c>
      <c r="AD96" s="92" t="s">
        <v>933</v>
      </c>
      <c r="AE96" s="92"/>
      <c r="AF96" s="92"/>
    </row>
    <row r="97" spans="1:32" ht="12.75" customHeight="1">
      <c r="A97" s="92" t="s">
        <v>703</v>
      </c>
      <c r="B97" s="92" t="s">
        <v>61</v>
      </c>
      <c r="C97" s="92" t="s">
        <v>922</v>
      </c>
      <c r="D97" s="92"/>
      <c r="E97" s="92" t="s">
        <v>768</v>
      </c>
      <c r="F97" s="92"/>
      <c r="G97" s="156">
        <v>9869018</v>
      </c>
      <c r="H97" s="156">
        <v>1390215</v>
      </c>
      <c r="I97" s="156" t="s">
        <v>769</v>
      </c>
      <c r="J97" s="156">
        <v>4</v>
      </c>
      <c r="K97" s="156">
        <v>21</v>
      </c>
      <c r="L97" s="96">
        <v>50000</v>
      </c>
      <c r="M97" s="92" t="s">
        <v>1602</v>
      </c>
      <c r="N97" s="100">
        <v>44302</v>
      </c>
      <c r="O97" s="100">
        <v>44305</v>
      </c>
      <c r="P97" s="100">
        <v>44305</v>
      </c>
      <c r="Q97" s="92" t="s">
        <v>1603</v>
      </c>
      <c r="R97" s="92" t="s">
        <v>622</v>
      </c>
      <c r="S97" s="92" t="s">
        <v>1604</v>
      </c>
      <c r="T97" s="92" t="s">
        <v>1605</v>
      </c>
      <c r="U97" s="92" t="s">
        <v>1606</v>
      </c>
      <c r="V97" s="92"/>
      <c r="W97" s="92"/>
      <c r="X97" s="92"/>
      <c r="Y97" s="92"/>
      <c r="Z97" s="92" t="s">
        <v>606</v>
      </c>
      <c r="AA97" s="92" t="s">
        <v>770</v>
      </c>
      <c r="AB97" s="92" t="s">
        <v>1236</v>
      </c>
      <c r="AC97" s="92" t="s">
        <v>778</v>
      </c>
      <c r="AD97" s="92" t="s">
        <v>933</v>
      </c>
      <c r="AE97" s="92"/>
      <c r="AF97" s="92"/>
    </row>
    <row r="98" spans="1:32" ht="12.75" customHeight="1">
      <c r="A98" s="92" t="s">
        <v>703</v>
      </c>
      <c r="B98" s="92" t="s">
        <v>61</v>
      </c>
      <c r="C98" s="92" t="s">
        <v>922</v>
      </c>
      <c r="D98" s="92"/>
      <c r="E98" s="92" t="s">
        <v>768</v>
      </c>
      <c r="F98" s="92"/>
      <c r="G98" s="156">
        <v>9872135</v>
      </c>
      <c r="H98" s="156">
        <v>1391004</v>
      </c>
      <c r="I98" s="156" t="s">
        <v>769</v>
      </c>
      <c r="J98" s="156">
        <v>4</v>
      </c>
      <c r="K98" s="156">
        <v>21</v>
      </c>
      <c r="L98" s="96">
        <v>550000</v>
      </c>
      <c r="M98" s="92" t="s">
        <v>1607</v>
      </c>
      <c r="N98" s="100">
        <v>44302</v>
      </c>
      <c r="O98" s="100">
        <v>44312</v>
      </c>
      <c r="P98" s="100">
        <v>44312</v>
      </c>
      <c r="Q98" s="92" t="s">
        <v>1608</v>
      </c>
      <c r="R98" s="92" t="s">
        <v>1230</v>
      </c>
      <c r="S98" s="92" t="s">
        <v>1609</v>
      </c>
      <c r="T98" s="92" t="s">
        <v>1364</v>
      </c>
      <c r="U98" s="92" t="s">
        <v>1610</v>
      </c>
      <c r="V98" s="92"/>
      <c r="W98" s="92"/>
      <c r="X98" s="92"/>
      <c r="Y98" s="92"/>
      <c r="Z98" s="92" t="s">
        <v>606</v>
      </c>
      <c r="AA98" s="92" t="s">
        <v>770</v>
      </c>
      <c r="AB98" s="92" t="s">
        <v>1236</v>
      </c>
      <c r="AC98" s="92" t="s">
        <v>778</v>
      </c>
      <c r="AD98" s="92" t="s">
        <v>933</v>
      </c>
      <c r="AE98" s="92"/>
      <c r="AF98" s="92"/>
    </row>
    <row r="99" spans="1:32" ht="12.75" customHeight="1">
      <c r="A99" s="92" t="s">
        <v>703</v>
      </c>
      <c r="B99" s="92" t="s">
        <v>64</v>
      </c>
      <c r="C99" s="92" t="s">
        <v>922</v>
      </c>
      <c r="D99" s="92"/>
      <c r="E99" s="92" t="s">
        <v>49</v>
      </c>
      <c r="F99" s="92"/>
      <c r="G99" s="156">
        <v>9865379</v>
      </c>
      <c r="H99" s="156">
        <v>18051315</v>
      </c>
      <c r="I99" s="156" t="s">
        <v>772</v>
      </c>
      <c r="J99" s="156">
        <v>4</v>
      </c>
      <c r="K99" s="156">
        <v>21</v>
      </c>
      <c r="L99" s="96">
        <v>-90000</v>
      </c>
      <c r="M99" s="92" t="s">
        <v>1611</v>
      </c>
      <c r="N99" s="100">
        <v>44299</v>
      </c>
      <c r="O99" s="100">
        <v>44299</v>
      </c>
      <c r="P99" s="100">
        <v>44299</v>
      </c>
      <c r="Q99" s="92" t="s">
        <v>1612</v>
      </c>
      <c r="R99" s="92" t="s">
        <v>1612</v>
      </c>
      <c r="S99" s="92"/>
      <c r="T99" s="92">
        <v>0</v>
      </c>
      <c r="U99" s="92" t="s">
        <v>1613</v>
      </c>
      <c r="V99" s="92"/>
      <c r="W99" s="92"/>
      <c r="X99" s="92" t="s">
        <v>773</v>
      </c>
      <c r="Y99" s="92"/>
      <c r="Z99" s="92" t="s">
        <v>606</v>
      </c>
      <c r="AA99" s="92" t="s">
        <v>770</v>
      </c>
      <c r="AB99" s="92" t="s">
        <v>1299</v>
      </c>
      <c r="AC99" s="92" t="s">
        <v>778</v>
      </c>
      <c r="AD99" s="92" t="s">
        <v>785</v>
      </c>
      <c r="AE99" s="92"/>
      <c r="AF99" s="92"/>
    </row>
    <row r="100" spans="1:32" ht="12.75" customHeight="1">
      <c r="A100" s="92" t="s">
        <v>703</v>
      </c>
      <c r="B100" s="92" t="s">
        <v>64</v>
      </c>
      <c r="C100" s="92" t="s">
        <v>922</v>
      </c>
      <c r="D100" s="92"/>
      <c r="E100" s="92" t="s">
        <v>49</v>
      </c>
      <c r="F100" s="92"/>
      <c r="G100" s="156">
        <v>9869305</v>
      </c>
      <c r="H100" s="156">
        <v>18052080</v>
      </c>
      <c r="I100" s="156" t="s">
        <v>772</v>
      </c>
      <c r="J100" s="156">
        <v>4</v>
      </c>
      <c r="K100" s="156">
        <v>21</v>
      </c>
      <c r="L100" s="96">
        <v>-70500</v>
      </c>
      <c r="M100" s="92" t="s">
        <v>1614</v>
      </c>
      <c r="N100" s="100">
        <v>44306</v>
      </c>
      <c r="O100" s="100">
        <v>44306</v>
      </c>
      <c r="P100" s="100">
        <v>44306</v>
      </c>
      <c r="Q100" s="92" t="s">
        <v>1615</v>
      </c>
      <c r="R100" s="92" t="s">
        <v>1616</v>
      </c>
      <c r="S100" s="92"/>
      <c r="T100" s="92">
        <v>0</v>
      </c>
      <c r="U100" s="92" t="s">
        <v>1617</v>
      </c>
      <c r="V100" s="92"/>
      <c r="W100" s="92"/>
      <c r="X100" s="92" t="s">
        <v>773</v>
      </c>
      <c r="Y100" s="92"/>
      <c r="Z100" s="92" t="s">
        <v>606</v>
      </c>
      <c r="AA100" s="92" t="s">
        <v>770</v>
      </c>
      <c r="AB100" s="92" t="s">
        <v>1299</v>
      </c>
      <c r="AC100" s="92" t="s">
        <v>1304</v>
      </c>
      <c r="AD100" s="92" t="s">
        <v>785</v>
      </c>
      <c r="AE100" s="92"/>
      <c r="AF100" s="92"/>
    </row>
    <row r="101" spans="1:32" ht="12.75" customHeight="1">
      <c r="A101" s="92" t="s">
        <v>703</v>
      </c>
      <c r="B101" s="92" t="s">
        <v>64</v>
      </c>
      <c r="C101" s="92" t="s">
        <v>922</v>
      </c>
      <c r="D101" s="92"/>
      <c r="E101" s="92" t="s">
        <v>49</v>
      </c>
      <c r="F101" s="92"/>
      <c r="G101" s="156">
        <v>9869305</v>
      </c>
      <c r="H101" s="156">
        <v>18052080</v>
      </c>
      <c r="I101" s="156" t="s">
        <v>772</v>
      </c>
      <c r="J101" s="156">
        <v>4</v>
      </c>
      <c r="K101" s="156">
        <v>21</v>
      </c>
      <c r="L101" s="96">
        <v>-20000</v>
      </c>
      <c r="M101" s="92" t="s">
        <v>1618</v>
      </c>
      <c r="N101" s="100">
        <v>44306</v>
      </c>
      <c r="O101" s="100">
        <v>44306</v>
      </c>
      <c r="P101" s="100">
        <v>44306</v>
      </c>
      <c r="Q101" s="92" t="s">
        <v>1619</v>
      </c>
      <c r="R101" s="92" t="s">
        <v>1616</v>
      </c>
      <c r="S101" s="92"/>
      <c r="T101" s="92">
        <v>0</v>
      </c>
      <c r="U101" s="92" t="s">
        <v>1620</v>
      </c>
      <c r="V101" s="92"/>
      <c r="W101" s="92"/>
      <c r="X101" s="92" t="s">
        <v>773</v>
      </c>
      <c r="Y101" s="92"/>
      <c r="Z101" s="92" t="s">
        <v>606</v>
      </c>
      <c r="AA101" s="92" t="s">
        <v>770</v>
      </c>
      <c r="AB101" s="92" t="s">
        <v>1299</v>
      </c>
      <c r="AC101" s="92" t="s">
        <v>1304</v>
      </c>
      <c r="AD101" s="92" t="s">
        <v>785</v>
      </c>
      <c r="AE101" s="92"/>
      <c r="AF101" s="92"/>
    </row>
    <row r="102" spans="1:32" ht="12.75" customHeight="1">
      <c r="A102" s="92" t="s">
        <v>703</v>
      </c>
      <c r="B102" s="92" t="s">
        <v>64</v>
      </c>
      <c r="C102" s="92" t="s">
        <v>922</v>
      </c>
      <c r="D102" s="92"/>
      <c r="E102" s="92" t="s">
        <v>49</v>
      </c>
      <c r="F102" s="92"/>
      <c r="G102" s="156">
        <v>9869305</v>
      </c>
      <c r="H102" s="156">
        <v>18052080</v>
      </c>
      <c r="I102" s="156" t="s">
        <v>772</v>
      </c>
      <c r="J102" s="156">
        <v>4</v>
      </c>
      <c r="K102" s="156">
        <v>21</v>
      </c>
      <c r="L102" s="96">
        <v>-100000</v>
      </c>
      <c r="M102" s="92" t="s">
        <v>1621</v>
      </c>
      <c r="N102" s="100">
        <v>44306</v>
      </c>
      <c r="O102" s="100">
        <v>44306</v>
      </c>
      <c r="P102" s="100">
        <v>44306</v>
      </c>
      <c r="Q102" s="92" t="s">
        <v>1622</v>
      </c>
      <c r="R102" s="92" t="s">
        <v>1616</v>
      </c>
      <c r="S102" s="92"/>
      <c r="T102" s="92">
        <v>0</v>
      </c>
      <c r="U102" s="92" t="s">
        <v>1623</v>
      </c>
      <c r="V102" s="92"/>
      <c r="W102" s="92"/>
      <c r="X102" s="92" t="s">
        <v>773</v>
      </c>
      <c r="Y102" s="92"/>
      <c r="Z102" s="92" t="s">
        <v>606</v>
      </c>
      <c r="AA102" s="92" t="s">
        <v>770</v>
      </c>
      <c r="AB102" s="92" t="s">
        <v>1299</v>
      </c>
      <c r="AC102" s="92" t="s">
        <v>1304</v>
      </c>
      <c r="AD102" s="92" t="s">
        <v>785</v>
      </c>
      <c r="AE102" s="92"/>
      <c r="AF102" s="92"/>
    </row>
    <row r="103" spans="1:32" ht="12.75" customHeight="1">
      <c r="A103" s="92" t="s">
        <v>703</v>
      </c>
      <c r="B103" s="92" t="s">
        <v>1104</v>
      </c>
      <c r="C103" s="92" t="s">
        <v>922</v>
      </c>
      <c r="D103" s="92"/>
      <c r="E103" s="92" t="s">
        <v>768</v>
      </c>
      <c r="F103" s="92"/>
      <c r="G103" s="156">
        <v>9859655</v>
      </c>
      <c r="H103" s="156">
        <v>1387601</v>
      </c>
      <c r="I103" s="156" t="s">
        <v>769</v>
      </c>
      <c r="J103" s="156">
        <v>4</v>
      </c>
      <c r="K103" s="156">
        <v>21</v>
      </c>
      <c r="L103" s="96">
        <v>55000</v>
      </c>
      <c r="M103" s="92" t="s">
        <v>1624</v>
      </c>
      <c r="N103" s="100">
        <v>44278</v>
      </c>
      <c r="O103" s="100">
        <v>44287</v>
      </c>
      <c r="P103" s="100">
        <v>44287</v>
      </c>
      <c r="Q103" s="92" t="s">
        <v>1625</v>
      </c>
      <c r="R103" s="92" t="s">
        <v>617</v>
      </c>
      <c r="S103" s="92" t="s">
        <v>1626</v>
      </c>
      <c r="T103" s="92" t="s">
        <v>1627</v>
      </c>
      <c r="U103" s="92" t="s">
        <v>1628</v>
      </c>
      <c r="V103" s="92"/>
      <c r="W103" s="92"/>
      <c r="X103" s="92"/>
      <c r="Y103" s="92"/>
      <c r="Z103" s="92" t="s">
        <v>606</v>
      </c>
      <c r="AA103" s="92" t="s">
        <v>770</v>
      </c>
      <c r="AB103" s="92" t="s">
        <v>1236</v>
      </c>
      <c r="AC103" s="92" t="s">
        <v>778</v>
      </c>
      <c r="AD103" s="92" t="s">
        <v>1105</v>
      </c>
      <c r="AE103" s="92"/>
      <c r="AF103" s="92"/>
    </row>
    <row r="104" spans="1:32" ht="12.75" customHeight="1">
      <c r="A104" s="92" t="s">
        <v>846</v>
      </c>
      <c r="B104" s="92" t="s">
        <v>47</v>
      </c>
      <c r="C104" s="92" t="s">
        <v>922</v>
      </c>
      <c r="D104" s="92"/>
      <c r="E104" s="92" t="s">
        <v>768</v>
      </c>
      <c r="F104" s="92"/>
      <c r="G104" s="156">
        <v>9872245</v>
      </c>
      <c r="H104" s="156">
        <v>1391114</v>
      </c>
      <c r="I104" s="156" t="s">
        <v>769</v>
      </c>
      <c r="J104" s="156">
        <v>4</v>
      </c>
      <c r="K104" s="156">
        <v>21</v>
      </c>
      <c r="L104" s="96">
        <v>365625</v>
      </c>
      <c r="M104" s="92" t="s">
        <v>1150</v>
      </c>
      <c r="N104" s="100">
        <v>44047</v>
      </c>
      <c r="O104" s="100">
        <v>44312</v>
      </c>
      <c r="P104" s="100">
        <v>44312</v>
      </c>
      <c r="Q104" s="92" t="s">
        <v>1629</v>
      </c>
      <c r="R104" s="92" t="s">
        <v>824</v>
      </c>
      <c r="S104" s="92" t="s">
        <v>1630</v>
      </c>
      <c r="T104" s="92" t="s">
        <v>1151</v>
      </c>
      <c r="U104" s="92" t="s">
        <v>1631</v>
      </c>
      <c r="V104" s="92"/>
      <c r="W104" s="92"/>
      <c r="X104" s="92"/>
      <c r="Y104" s="92"/>
      <c r="Z104" s="92" t="s">
        <v>606</v>
      </c>
      <c r="AA104" s="92" t="s">
        <v>770</v>
      </c>
      <c r="AB104" s="92" t="s">
        <v>1236</v>
      </c>
      <c r="AC104" s="92" t="s">
        <v>778</v>
      </c>
      <c r="AD104" s="92" t="s">
        <v>789</v>
      </c>
      <c r="AE104" s="92"/>
      <c r="AF104" s="92"/>
    </row>
    <row r="105" spans="1:32" ht="12.75" customHeight="1">
      <c r="A105" s="92" t="s">
        <v>846</v>
      </c>
      <c r="B105" s="92" t="s">
        <v>72</v>
      </c>
      <c r="C105" s="92" t="s">
        <v>922</v>
      </c>
      <c r="D105" s="92"/>
      <c r="E105" s="92" t="s">
        <v>49</v>
      </c>
      <c r="F105" s="92"/>
      <c r="G105" s="156">
        <v>9862057</v>
      </c>
      <c r="H105" s="156">
        <v>18050845</v>
      </c>
      <c r="I105" s="156" t="s">
        <v>772</v>
      </c>
      <c r="J105" s="156">
        <v>4</v>
      </c>
      <c r="K105" s="156">
        <v>21</v>
      </c>
      <c r="L105" s="96">
        <v>-35000</v>
      </c>
      <c r="M105" s="92" t="s">
        <v>1632</v>
      </c>
      <c r="N105" s="100">
        <v>44287</v>
      </c>
      <c r="O105" s="100">
        <v>44287</v>
      </c>
      <c r="P105" s="100">
        <v>44292</v>
      </c>
      <c r="Q105" s="92" t="s">
        <v>1633</v>
      </c>
      <c r="R105" s="92" t="s">
        <v>1633</v>
      </c>
      <c r="S105" s="92"/>
      <c r="T105" s="92">
        <v>0</v>
      </c>
      <c r="U105" s="92" t="s">
        <v>1634</v>
      </c>
      <c r="V105" s="92"/>
      <c r="W105" s="92"/>
      <c r="X105" s="92" t="s">
        <v>773</v>
      </c>
      <c r="Y105" s="92"/>
      <c r="Z105" s="92" t="s">
        <v>606</v>
      </c>
      <c r="AA105" s="92" t="s">
        <v>770</v>
      </c>
      <c r="AB105" s="92" t="s">
        <v>1252</v>
      </c>
      <c r="AC105" s="92" t="s">
        <v>1281</v>
      </c>
      <c r="AD105" s="92" t="s">
        <v>786</v>
      </c>
      <c r="AE105" s="92"/>
      <c r="AF105" s="92"/>
    </row>
    <row r="106" spans="1:32" ht="12.75" customHeight="1">
      <c r="A106" s="92" t="s">
        <v>846</v>
      </c>
      <c r="B106" s="92" t="s">
        <v>1009</v>
      </c>
      <c r="C106" s="92" t="s">
        <v>922</v>
      </c>
      <c r="D106" s="92"/>
      <c r="E106" s="92" t="s">
        <v>49</v>
      </c>
      <c r="F106" s="92" t="s">
        <v>768</v>
      </c>
      <c r="G106" s="156">
        <v>9851109</v>
      </c>
      <c r="H106" s="156">
        <v>18048587</v>
      </c>
      <c r="I106" s="156" t="s">
        <v>772</v>
      </c>
      <c r="J106" s="156">
        <v>4</v>
      </c>
      <c r="K106" s="156">
        <v>21</v>
      </c>
      <c r="L106" s="96">
        <v>-7000</v>
      </c>
      <c r="M106" s="92" t="s">
        <v>1635</v>
      </c>
      <c r="N106" s="100">
        <v>44287</v>
      </c>
      <c r="O106" s="100">
        <v>44287</v>
      </c>
      <c r="P106" s="100">
        <v>44270</v>
      </c>
      <c r="Q106" s="92" t="s">
        <v>1636</v>
      </c>
      <c r="R106" s="92" t="s">
        <v>1636</v>
      </c>
      <c r="S106" s="92"/>
      <c r="T106" s="92">
        <v>0</v>
      </c>
      <c r="U106" s="92" t="s">
        <v>1637</v>
      </c>
      <c r="V106" s="92"/>
      <c r="W106" s="92"/>
      <c r="X106" s="92" t="s">
        <v>773</v>
      </c>
      <c r="Y106" s="92"/>
      <c r="Z106" s="92" t="s">
        <v>606</v>
      </c>
      <c r="AA106" s="92" t="s">
        <v>770</v>
      </c>
      <c r="AB106" s="92" t="s">
        <v>1252</v>
      </c>
      <c r="AC106" s="92" t="s">
        <v>1281</v>
      </c>
      <c r="AD106" s="92" t="s">
        <v>1010</v>
      </c>
      <c r="AE106" s="92"/>
      <c r="AF106" s="92"/>
    </row>
    <row r="107" spans="1:32" ht="12.75" customHeight="1">
      <c r="A107" s="92" t="s">
        <v>846</v>
      </c>
      <c r="B107" s="92" t="s">
        <v>1009</v>
      </c>
      <c r="C107" s="92" t="s">
        <v>922</v>
      </c>
      <c r="D107" s="92"/>
      <c r="E107" s="92" t="s">
        <v>49</v>
      </c>
      <c r="F107" s="92" t="s">
        <v>768</v>
      </c>
      <c r="G107" s="156">
        <v>9851109</v>
      </c>
      <c r="H107" s="156">
        <v>18048587</v>
      </c>
      <c r="I107" s="156" t="s">
        <v>772</v>
      </c>
      <c r="J107" s="156">
        <v>4</v>
      </c>
      <c r="K107" s="156">
        <v>21</v>
      </c>
      <c r="L107" s="96">
        <v>7000</v>
      </c>
      <c r="M107" s="92" t="s">
        <v>1635</v>
      </c>
      <c r="N107" s="100">
        <v>44287</v>
      </c>
      <c r="O107" s="100">
        <v>44287</v>
      </c>
      <c r="P107" s="100">
        <v>44270</v>
      </c>
      <c r="Q107" s="92" t="s">
        <v>1636</v>
      </c>
      <c r="R107" s="92" t="s">
        <v>1636</v>
      </c>
      <c r="S107" s="92"/>
      <c r="T107" s="92">
        <v>0</v>
      </c>
      <c r="U107" s="92" t="s">
        <v>1637</v>
      </c>
      <c r="V107" s="92"/>
      <c r="W107" s="92"/>
      <c r="X107" s="92" t="s">
        <v>773</v>
      </c>
      <c r="Y107" s="92"/>
      <c r="Z107" s="92" t="s">
        <v>606</v>
      </c>
      <c r="AA107" s="92" t="s">
        <v>770</v>
      </c>
      <c r="AB107" s="92" t="s">
        <v>1252</v>
      </c>
      <c r="AC107" s="92" t="s">
        <v>1281</v>
      </c>
      <c r="AD107" s="92" t="s">
        <v>1010</v>
      </c>
      <c r="AE107" s="92"/>
      <c r="AF107" s="92"/>
    </row>
    <row r="108" spans="1:32" ht="12.75" customHeight="1">
      <c r="A108" s="92" t="s">
        <v>846</v>
      </c>
      <c r="B108" s="92" t="s">
        <v>1003</v>
      </c>
      <c r="C108" s="92" t="s">
        <v>922</v>
      </c>
      <c r="D108" s="92"/>
      <c r="E108" s="92" t="s">
        <v>775</v>
      </c>
      <c r="F108" s="92"/>
      <c r="G108" s="156">
        <v>9856566</v>
      </c>
      <c r="H108" s="156">
        <v>3812400</v>
      </c>
      <c r="I108" s="156" t="s">
        <v>776</v>
      </c>
      <c r="J108" s="156">
        <v>4</v>
      </c>
      <c r="K108" s="156">
        <v>21</v>
      </c>
      <c r="L108" s="96">
        <v>62273.79</v>
      </c>
      <c r="M108" s="92"/>
      <c r="N108" s="100">
        <v>44316</v>
      </c>
      <c r="O108" s="100">
        <v>44287</v>
      </c>
      <c r="P108" s="100">
        <v>44280</v>
      </c>
      <c r="Q108" s="92" t="s">
        <v>777</v>
      </c>
      <c r="R108" s="92" t="s">
        <v>1095</v>
      </c>
      <c r="S108" s="92"/>
      <c r="T108" s="92" t="s">
        <v>1485</v>
      </c>
      <c r="U108" s="92" t="s">
        <v>1638</v>
      </c>
      <c r="V108" s="92"/>
      <c r="W108" s="92"/>
      <c r="X108" s="92"/>
      <c r="Y108" s="92"/>
      <c r="Z108" s="92" t="s">
        <v>606</v>
      </c>
      <c r="AA108" s="92" t="s">
        <v>770</v>
      </c>
      <c r="AB108" s="92" t="s">
        <v>778</v>
      </c>
      <c r="AC108" s="92" t="s">
        <v>778</v>
      </c>
      <c r="AD108" s="92" t="s">
        <v>1004</v>
      </c>
      <c r="AE108" s="92"/>
      <c r="AF108" s="92"/>
    </row>
    <row r="109" spans="1:32" ht="12.75" customHeight="1">
      <c r="A109" s="92" t="s">
        <v>846</v>
      </c>
      <c r="B109" s="92" t="s">
        <v>609</v>
      </c>
      <c r="C109" s="92" t="s">
        <v>922</v>
      </c>
      <c r="D109" s="92"/>
      <c r="E109" s="92" t="s">
        <v>768</v>
      </c>
      <c r="F109" s="92"/>
      <c r="G109" s="156">
        <v>9860127</v>
      </c>
      <c r="H109" s="156">
        <v>1387947</v>
      </c>
      <c r="I109" s="156" t="s">
        <v>769</v>
      </c>
      <c r="J109" s="156">
        <v>4</v>
      </c>
      <c r="K109" s="156">
        <v>21</v>
      </c>
      <c r="L109" s="96">
        <v>13797.8</v>
      </c>
      <c r="M109" s="92" t="s">
        <v>1639</v>
      </c>
      <c r="N109" s="100">
        <v>44285</v>
      </c>
      <c r="O109" s="100">
        <v>44287</v>
      </c>
      <c r="P109" s="100">
        <v>44287</v>
      </c>
      <c r="Q109" s="92" t="s">
        <v>1640</v>
      </c>
      <c r="R109" s="92" t="s">
        <v>1641</v>
      </c>
      <c r="S109" s="92" t="s">
        <v>1642</v>
      </c>
      <c r="T109" s="92" t="s">
        <v>1643</v>
      </c>
      <c r="U109" s="92" t="s">
        <v>1644</v>
      </c>
      <c r="V109" s="92"/>
      <c r="W109" s="92"/>
      <c r="X109" s="92"/>
      <c r="Y109" s="92"/>
      <c r="Z109" s="92" t="s">
        <v>606</v>
      </c>
      <c r="AA109" s="92" t="s">
        <v>770</v>
      </c>
      <c r="AB109" s="92" t="s">
        <v>1236</v>
      </c>
      <c r="AC109" s="92" t="s">
        <v>778</v>
      </c>
      <c r="AD109" s="92" t="s">
        <v>788</v>
      </c>
      <c r="AE109" s="92"/>
      <c r="AF109" s="92"/>
    </row>
    <row r="110" spans="1:32" ht="12.75" customHeight="1">
      <c r="A110" s="92" t="s">
        <v>846</v>
      </c>
      <c r="B110" s="92" t="s">
        <v>1011</v>
      </c>
      <c r="C110" s="92" t="s">
        <v>922</v>
      </c>
      <c r="D110" s="92"/>
      <c r="E110" s="92" t="s">
        <v>768</v>
      </c>
      <c r="F110" s="92"/>
      <c r="G110" s="156">
        <v>9866002</v>
      </c>
      <c r="H110" s="156">
        <v>1389369</v>
      </c>
      <c r="I110" s="156" t="s">
        <v>769</v>
      </c>
      <c r="J110" s="156">
        <v>4</v>
      </c>
      <c r="K110" s="156">
        <v>21</v>
      </c>
      <c r="L110" s="96">
        <v>24806.25</v>
      </c>
      <c r="M110" s="92" t="s">
        <v>1134</v>
      </c>
      <c r="N110" s="100">
        <v>44294</v>
      </c>
      <c r="O110" s="100">
        <v>44300</v>
      </c>
      <c r="P110" s="100">
        <v>44300</v>
      </c>
      <c r="Q110" s="92" t="s">
        <v>1645</v>
      </c>
      <c r="R110" s="92" t="s">
        <v>793</v>
      </c>
      <c r="S110" s="92" t="s">
        <v>1646</v>
      </c>
      <c r="T110" s="92" t="s">
        <v>793</v>
      </c>
      <c r="U110" s="92" t="s">
        <v>1647</v>
      </c>
      <c r="V110" s="92"/>
      <c r="W110" s="92"/>
      <c r="X110" s="92"/>
      <c r="Y110" s="92"/>
      <c r="Z110" s="92" t="s">
        <v>606</v>
      </c>
      <c r="AA110" s="92" t="s">
        <v>770</v>
      </c>
      <c r="AB110" s="92" t="s">
        <v>1236</v>
      </c>
      <c r="AC110" s="92" t="s">
        <v>778</v>
      </c>
      <c r="AD110" s="92" t="s">
        <v>1012</v>
      </c>
      <c r="AE110" s="92"/>
      <c r="AF110" s="92"/>
    </row>
    <row r="111" spans="1:32" ht="12.75" customHeight="1">
      <c r="A111" s="92" t="s">
        <v>846</v>
      </c>
      <c r="B111" s="92" t="s">
        <v>1011</v>
      </c>
      <c r="C111" s="92" t="s">
        <v>922</v>
      </c>
      <c r="D111" s="92"/>
      <c r="E111" s="92" t="s">
        <v>49</v>
      </c>
      <c r="F111" s="92"/>
      <c r="G111" s="156">
        <v>9867507</v>
      </c>
      <c r="H111" s="156">
        <v>18051567</v>
      </c>
      <c r="I111" s="156" t="s">
        <v>772</v>
      </c>
      <c r="J111" s="156">
        <v>4</v>
      </c>
      <c r="K111" s="156">
        <v>21</v>
      </c>
      <c r="L111" s="96">
        <v>-359360</v>
      </c>
      <c r="M111" s="92" t="s">
        <v>1648</v>
      </c>
      <c r="N111" s="100">
        <v>44302</v>
      </c>
      <c r="O111" s="100">
        <v>44302</v>
      </c>
      <c r="P111" s="100">
        <v>44302</v>
      </c>
      <c r="Q111" s="92" t="s">
        <v>1649</v>
      </c>
      <c r="R111" s="92" t="s">
        <v>1649</v>
      </c>
      <c r="S111" s="92"/>
      <c r="T111" s="92">
        <v>0</v>
      </c>
      <c r="U111" s="92" t="s">
        <v>1650</v>
      </c>
      <c r="V111" s="92"/>
      <c r="W111" s="92"/>
      <c r="X111" s="92" t="s">
        <v>957</v>
      </c>
      <c r="Y111" s="92"/>
      <c r="Z111" s="92" t="s">
        <v>606</v>
      </c>
      <c r="AA111" s="92" t="s">
        <v>770</v>
      </c>
      <c r="AB111" s="92" t="s">
        <v>1041</v>
      </c>
      <c r="AC111" s="92" t="s">
        <v>778</v>
      </c>
      <c r="AD111" s="92" t="s">
        <v>1012</v>
      </c>
      <c r="AE111" s="92"/>
      <c r="AF111" s="92"/>
    </row>
    <row r="112" spans="1:32" ht="12.75" customHeight="1">
      <c r="A112" s="92" t="s">
        <v>846</v>
      </c>
      <c r="B112" s="92" t="s">
        <v>67</v>
      </c>
      <c r="C112" s="92" t="s">
        <v>922</v>
      </c>
      <c r="D112" s="92"/>
      <c r="E112" s="92" t="s">
        <v>49</v>
      </c>
      <c r="F112" s="92"/>
      <c r="G112" s="156">
        <v>9873538</v>
      </c>
      <c r="H112" s="156">
        <v>18123632</v>
      </c>
      <c r="I112" s="156" t="s">
        <v>772</v>
      </c>
      <c r="J112" s="156">
        <v>4</v>
      </c>
      <c r="K112" s="156">
        <v>21</v>
      </c>
      <c r="L112" s="96">
        <v>-7000</v>
      </c>
      <c r="M112" s="92" t="s">
        <v>1635</v>
      </c>
      <c r="N112" s="100">
        <v>44287</v>
      </c>
      <c r="O112" s="100">
        <v>44287</v>
      </c>
      <c r="P112" s="100">
        <v>44314</v>
      </c>
      <c r="Q112" s="92" t="s">
        <v>1636</v>
      </c>
      <c r="R112" s="92" t="s">
        <v>1636</v>
      </c>
      <c r="S112" s="92"/>
      <c r="T112" s="92">
        <v>0</v>
      </c>
      <c r="U112" s="92" t="s">
        <v>1637</v>
      </c>
      <c r="V112" s="92"/>
      <c r="W112" s="92"/>
      <c r="X112" s="92" t="s">
        <v>773</v>
      </c>
      <c r="Y112" s="92"/>
      <c r="Z112" s="92" t="s">
        <v>606</v>
      </c>
      <c r="AA112" s="92" t="s">
        <v>770</v>
      </c>
      <c r="AB112" s="92" t="s">
        <v>1252</v>
      </c>
      <c r="AC112" s="92" t="s">
        <v>1281</v>
      </c>
      <c r="AD112" s="92" t="s">
        <v>790</v>
      </c>
      <c r="AE112" s="92"/>
      <c r="AF112" s="92"/>
    </row>
    <row r="113" spans="1:32" ht="12.75" customHeight="1">
      <c r="A113" s="92" t="s">
        <v>846</v>
      </c>
      <c r="B113" s="92" t="s">
        <v>67</v>
      </c>
      <c r="C113" s="92" t="s">
        <v>922</v>
      </c>
      <c r="D113" s="92"/>
      <c r="E113" s="92" t="s">
        <v>768</v>
      </c>
      <c r="F113" s="92" t="s">
        <v>768</v>
      </c>
      <c r="G113" s="156">
        <v>9862565</v>
      </c>
      <c r="H113" s="156">
        <v>1388696</v>
      </c>
      <c r="I113" s="156" t="s">
        <v>769</v>
      </c>
      <c r="J113" s="156">
        <v>4</v>
      </c>
      <c r="K113" s="156">
        <v>21</v>
      </c>
      <c r="L113" s="96">
        <v>44500</v>
      </c>
      <c r="M113" s="92" t="s">
        <v>1635</v>
      </c>
      <c r="N113" s="100">
        <v>44289</v>
      </c>
      <c r="O113" s="100">
        <v>44293</v>
      </c>
      <c r="P113" s="100">
        <v>44293</v>
      </c>
      <c r="Q113" s="92" t="s">
        <v>1651</v>
      </c>
      <c r="R113" s="92" t="s">
        <v>1025</v>
      </c>
      <c r="S113" s="92" t="s">
        <v>1652</v>
      </c>
      <c r="T113" s="92" t="s">
        <v>1653</v>
      </c>
      <c r="U113" s="92" t="s">
        <v>1637</v>
      </c>
      <c r="V113" s="92"/>
      <c r="W113" s="92"/>
      <c r="X113" s="92"/>
      <c r="Y113" s="92"/>
      <c r="Z113" s="92" t="s">
        <v>606</v>
      </c>
      <c r="AA113" s="92" t="s">
        <v>770</v>
      </c>
      <c r="AB113" s="92" t="s">
        <v>1236</v>
      </c>
      <c r="AC113" s="92" t="s">
        <v>778</v>
      </c>
      <c r="AD113" s="92" t="s">
        <v>790</v>
      </c>
      <c r="AE113" s="92"/>
      <c r="AF113" s="92"/>
    </row>
    <row r="114" spans="1:32" ht="12.75" customHeight="1">
      <c r="A114" s="92" t="s">
        <v>846</v>
      </c>
      <c r="B114" s="92" t="s">
        <v>67</v>
      </c>
      <c r="C114" s="92" t="s">
        <v>922</v>
      </c>
      <c r="D114" s="92"/>
      <c r="E114" s="92" t="s">
        <v>768</v>
      </c>
      <c r="F114" s="92" t="s">
        <v>768</v>
      </c>
      <c r="G114" s="156">
        <v>9862565</v>
      </c>
      <c r="H114" s="156">
        <v>1388696</v>
      </c>
      <c r="I114" s="156" t="s">
        <v>769</v>
      </c>
      <c r="J114" s="156">
        <v>4</v>
      </c>
      <c r="K114" s="156">
        <v>21</v>
      </c>
      <c r="L114" s="96">
        <v>-44500</v>
      </c>
      <c r="M114" s="92" t="s">
        <v>1635</v>
      </c>
      <c r="N114" s="100">
        <v>44289</v>
      </c>
      <c r="O114" s="100">
        <v>44299</v>
      </c>
      <c r="P114" s="100">
        <v>44293</v>
      </c>
      <c r="Q114" s="92" t="s">
        <v>1651</v>
      </c>
      <c r="R114" s="92" t="s">
        <v>1025</v>
      </c>
      <c r="S114" s="92" t="s">
        <v>1652</v>
      </c>
      <c r="T114" s="92" t="s">
        <v>1653</v>
      </c>
      <c r="U114" s="92" t="s">
        <v>1637</v>
      </c>
      <c r="V114" s="92"/>
      <c r="W114" s="92"/>
      <c r="X114" s="92"/>
      <c r="Y114" s="92"/>
      <c r="Z114" s="92" t="s">
        <v>606</v>
      </c>
      <c r="AA114" s="92" t="s">
        <v>770</v>
      </c>
      <c r="AB114" s="92" t="s">
        <v>1236</v>
      </c>
      <c r="AC114" s="92" t="s">
        <v>1433</v>
      </c>
      <c r="AD114" s="92" t="s">
        <v>790</v>
      </c>
      <c r="AE114" s="92"/>
      <c r="AF114" s="92"/>
    </row>
    <row r="115" spans="1:32" ht="12.75" customHeight="1">
      <c r="A115" s="92" t="s">
        <v>846</v>
      </c>
      <c r="B115" s="92" t="s">
        <v>67</v>
      </c>
      <c r="C115" s="92" t="s">
        <v>922</v>
      </c>
      <c r="D115" s="92"/>
      <c r="E115" s="92" t="s">
        <v>775</v>
      </c>
      <c r="F115" s="92"/>
      <c r="G115" s="156">
        <v>9865564</v>
      </c>
      <c r="H115" s="156">
        <v>3818499</v>
      </c>
      <c r="I115" s="156" t="s">
        <v>776</v>
      </c>
      <c r="J115" s="156">
        <v>4</v>
      </c>
      <c r="K115" s="156">
        <v>21</v>
      </c>
      <c r="L115" s="96">
        <v>44500</v>
      </c>
      <c r="M115" s="92"/>
      <c r="N115" s="100">
        <v>44316</v>
      </c>
      <c r="O115" s="100">
        <v>44300</v>
      </c>
      <c r="P115" s="100">
        <v>44300</v>
      </c>
      <c r="Q115" s="92" t="s">
        <v>777</v>
      </c>
      <c r="R115" s="92" t="s">
        <v>1025</v>
      </c>
      <c r="S115" s="92"/>
      <c r="T115" s="92" t="s">
        <v>1653</v>
      </c>
      <c r="U115" s="92" t="s">
        <v>1654</v>
      </c>
      <c r="V115" s="92"/>
      <c r="W115" s="92"/>
      <c r="X115" s="92"/>
      <c r="Y115" s="92"/>
      <c r="Z115" s="92" t="s">
        <v>606</v>
      </c>
      <c r="AA115" s="92" t="s">
        <v>770</v>
      </c>
      <c r="AB115" s="92" t="s">
        <v>778</v>
      </c>
      <c r="AC115" s="92" t="s">
        <v>778</v>
      </c>
      <c r="AD115" s="92" t="s">
        <v>790</v>
      </c>
      <c r="AE115" s="92"/>
      <c r="AF115" s="92"/>
    </row>
    <row r="116" spans="1:32" ht="12.75" customHeight="1">
      <c r="A116" s="92" t="s">
        <v>892</v>
      </c>
      <c r="B116" s="92" t="s">
        <v>50</v>
      </c>
      <c r="C116" s="92" t="s">
        <v>922</v>
      </c>
      <c r="D116" s="92"/>
      <c r="E116" s="92" t="s">
        <v>768</v>
      </c>
      <c r="F116" s="92" t="s">
        <v>768</v>
      </c>
      <c r="G116" s="156">
        <v>9859810</v>
      </c>
      <c r="H116" s="156">
        <v>1387751</v>
      </c>
      <c r="I116" s="156" t="s">
        <v>769</v>
      </c>
      <c r="J116" s="156">
        <v>4</v>
      </c>
      <c r="K116" s="156">
        <v>21</v>
      </c>
      <c r="L116" s="96">
        <v>40000</v>
      </c>
      <c r="M116" s="92" t="s">
        <v>1655</v>
      </c>
      <c r="N116" s="100">
        <v>44276</v>
      </c>
      <c r="O116" s="100">
        <v>44287</v>
      </c>
      <c r="P116" s="100">
        <v>44287</v>
      </c>
      <c r="Q116" s="92" t="s">
        <v>1656</v>
      </c>
      <c r="R116" s="92" t="s">
        <v>616</v>
      </c>
      <c r="S116" s="92" t="s">
        <v>1657</v>
      </c>
      <c r="T116" s="92" t="s">
        <v>1271</v>
      </c>
      <c r="U116" s="92" t="s">
        <v>1658</v>
      </c>
      <c r="V116" s="92"/>
      <c r="W116" s="92"/>
      <c r="X116" s="92"/>
      <c r="Y116" s="92"/>
      <c r="Z116" s="92" t="s">
        <v>606</v>
      </c>
      <c r="AA116" s="92" t="s">
        <v>770</v>
      </c>
      <c r="AB116" s="92" t="s">
        <v>1236</v>
      </c>
      <c r="AC116" s="92" t="s">
        <v>778</v>
      </c>
      <c r="AD116" s="92" t="s">
        <v>925</v>
      </c>
      <c r="AE116" s="92"/>
      <c r="AF116" s="92"/>
    </row>
    <row r="117" spans="1:32" ht="12.75" customHeight="1">
      <c r="A117" s="92" t="s">
        <v>892</v>
      </c>
      <c r="B117" s="92" t="s">
        <v>50</v>
      </c>
      <c r="C117" s="92" t="s">
        <v>922</v>
      </c>
      <c r="D117" s="92"/>
      <c r="E117" s="92" t="s">
        <v>775</v>
      </c>
      <c r="F117" s="92"/>
      <c r="G117" s="156">
        <v>9862090</v>
      </c>
      <c r="H117" s="156">
        <v>3817966</v>
      </c>
      <c r="I117" s="156" t="s">
        <v>776</v>
      </c>
      <c r="J117" s="156">
        <v>4</v>
      </c>
      <c r="K117" s="156">
        <v>21</v>
      </c>
      <c r="L117" s="96">
        <v>40000</v>
      </c>
      <c r="M117" s="92"/>
      <c r="N117" s="100">
        <v>44316</v>
      </c>
      <c r="O117" s="100">
        <v>44293</v>
      </c>
      <c r="P117" s="100">
        <v>44293</v>
      </c>
      <c r="Q117" s="92" t="s">
        <v>777</v>
      </c>
      <c r="R117" s="92" t="s">
        <v>616</v>
      </c>
      <c r="S117" s="92"/>
      <c r="T117" s="92" t="s">
        <v>1271</v>
      </c>
      <c r="U117" s="92" t="s">
        <v>1659</v>
      </c>
      <c r="V117" s="92"/>
      <c r="W117" s="92"/>
      <c r="X117" s="92"/>
      <c r="Y117" s="92"/>
      <c r="Z117" s="92" t="s">
        <v>606</v>
      </c>
      <c r="AA117" s="92" t="s">
        <v>770</v>
      </c>
      <c r="AB117" s="92" t="s">
        <v>778</v>
      </c>
      <c r="AC117" s="92" t="s">
        <v>778</v>
      </c>
      <c r="AD117" s="92" t="s">
        <v>925</v>
      </c>
      <c r="AE117" s="92"/>
      <c r="AF117" s="92"/>
    </row>
    <row r="118" spans="1:32" ht="12.75" customHeight="1">
      <c r="A118" s="92" t="s">
        <v>892</v>
      </c>
      <c r="B118" s="92" t="s">
        <v>50</v>
      </c>
      <c r="C118" s="92" t="s">
        <v>922</v>
      </c>
      <c r="D118" s="92"/>
      <c r="E118" s="92" t="s">
        <v>768</v>
      </c>
      <c r="F118" s="92" t="s">
        <v>768</v>
      </c>
      <c r="G118" s="156">
        <v>9859810</v>
      </c>
      <c r="H118" s="156">
        <v>1387751</v>
      </c>
      <c r="I118" s="156" t="s">
        <v>769</v>
      </c>
      <c r="J118" s="156">
        <v>4</v>
      </c>
      <c r="K118" s="156">
        <v>21</v>
      </c>
      <c r="L118" s="96">
        <v>-40000</v>
      </c>
      <c r="M118" s="92" t="s">
        <v>1655</v>
      </c>
      <c r="N118" s="100">
        <v>44276</v>
      </c>
      <c r="O118" s="100">
        <v>44299</v>
      </c>
      <c r="P118" s="100">
        <v>44287</v>
      </c>
      <c r="Q118" s="92" t="s">
        <v>1656</v>
      </c>
      <c r="R118" s="92" t="s">
        <v>616</v>
      </c>
      <c r="S118" s="92" t="s">
        <v>1657</v>
      </c>
      <c r="T118" s="92" t="s">
        <v>1271</v>
      </c>
      <c r="U118" s="92" t="s">
        <v>1658</v>
      </c>
      <c r="V118" s="92"/>
      <c r="W118" s="92"/>
      <c r="X118" s="92"/>
      <c r="Y118" s="92"/>
      <c r="Z118" s="92" t="s">
        <v>606</v>
      </c>
      <c r="AA118" s="92" t="s">
        <v>770</v>
      </c>
      <c r="AB118" s="92" t="s">
        <v>1236</v>
      </c>
      <c r="AC118" s="92" t="s">
        <v>1433</v>
      </c>
      <c r="AD118" s="92" t="s">
        <v>925</v>
      </c>
      <c r="AE118" s="92"/>
      <c r="AF118" s="92"/>
    </row>
    <row r="119" spans="1:32" ht="12.75" customHeight="1">
      <c r="A119" s="92" t="s">
        <v>892</v>
      </c>
      <c r="B119" s="92" t="s">
        <v>1001</v>
      </c>
      <c r="C119" s="92" t="s">
        <v>922</v>
      </c>
      <c r="D119" s="92"/>
      <c r="E119" s="92" t="s">
        <v>775</v>
      </c>
      <c r="F119" s="92"/>
      <c r="G119" s="156">
        <v>9856567</v>
      </c>
      <c r="H119" s="156">
        <v>3812412</v>
      </c>
      <c r="I119" s="156" t="s">
        <v>776</v>
      </c>
      <c r="J119" s="156">
        <v>4</v>
      </c>
      <c r="K119" s="156">
        <v>21</v>
      </c>
      <c r="L119" s="96">
        <v>122061.11</v>
      </c>
      <c r="M119" s="92"/>
      <c r="N119" s="100">
        <v>44316</v>
      </c>
      <c r="O119" s="100">
        <v>44287</v>
      </c>
      <c r="P119" s="100">
        <v>44280</v>
      </c>
      <c r="Q119" s="92" t="s">
        <v>777</v>
      </c>
      <c r="R119" s="92" t="s">
        <v>655</v>
      </c>
      <c r="S119" s="92"/>
      <c r="T119" s="92" t="s">
        <v>1412</v>
      </c>
      <c r="U119" s="92" t="s">
        <v>1660</v>
      </c>
      <c r="V119" s="92"/>
      <c r="W119" s="92"/>
      <c r="X119" s="92"/>
      <c r="Y119" s="92"/>
      <c r="Z119" s="92" t="s">
        <v>606</v>
      </c>
      <c r="AA119" s="92" t="s">
        <v>770</v>
      </c>
      <c r="AB119" s="92" t="s">
        <v>778</v>
      </c>
      <c r="AC119" s="92" t="s">
        <v>778</v>
      </c>
      <c r="AD119" s="92" t="s">
        <v>1002</v>
      </c>
      <c r="AE119" s="92"/>
      <c r="AF119" s="92"/>
    </row>
    <row r="120" spans="1:32" ht="12.75" customHeight="1">
      <c r="A120" s="92" t="s">
        <v>892</v>
      </c>
      <c r="B120" s="92" t="s">
        <v>1001</v>
      </c>
      <c r="C120" s="92" t="s">
        <v>922</v>
      </c>
      <c r="D120" s="92"/>
      <c r="E120" s="92" t="s">
        <v>775</v>
      </c>
      <c r="F120" s="92"/>
      <c r="G120" s="156">
        <v>9860516</v>
      </c>
      <c r="H120" s="156">
        <v>3817729</v>
      </c>
      <c r="I120" s="156" t="s">
        <v>776</v>
      </c>
      <c r="J120" s="156">
        <v>4</v>
      </c>
      <c r="K120" s="156">
        <v>21</v>
      </c>
      <c r="L120" s="96">
        <v>-122061.11</v>
      </c>
      <c r="M120" s="92"/>
      <c r="N120" s="100">
        <v>44316</v>
      </c>
      <c r="O120" s="100">
        <v>44288</v>
      </c>
      <c r="P120" s="100">
        <v>44288</v>
      </c>
      <c r="Q120" s="92" t="s">
        <v>1661</v>
      </c>
      <c r="R120" s="92" t="s">
        <v>655</v>
      </c>
      <c r="S120" s="92"/>
      <c r="T120" s="92" t="s">
        <v>1412</v>
      </c>
      <c r="U120" s="92" t="s">
        <v>1660</v>
      </c>
      <c r="V120" s="92"/>
      <c r="W120" s="92"/>
      <c r="X120" s="92"/>
      <c r="Y120" s="92"/>
      <c r="Z120" s="92" t="s">
        <v>606</v>
      </c>
      <c r="AA120" s="92" t="s">
        <v>770</v>
      </c>
      <c r="AB120" s="92" t="s">
        <v>778</v>
      </c>
      <c r="AC120" s="92" t="s">
        <v>778</v>
      </c>
      <c r="AD120" s="92" t="s">
        <v>1002</v>
      </c>
      <c r="AE120" s="92"/>
      <c r="AF120" s="92"/>
    </row>
    <row r="121" spans="1:32" ht="12.75" customHeight="1">
      <c r="A121" s="92" t="s">
        <v>892</v>
      </c>
      <c r="B121" s="92" t="s">
        <v>1001</v>
      </c>
      <c r="C121" s="92" t="s">
        <v>922</v>
      </c>
      <c r="D121" s="92"/>
      <c r="E121" s="92" t="s">
        <v>768</v>
      </c>
      <c r="F121" s="92" t="s">
        <v>768</v>
      </c>
      <c r="G121" s="156">
        <v>9852872</v>
      </c>
      <c r="H121" s="156">
        <v>1386413</v>
      </c>
      <c r="I121" s="156" t="s">
        <v>769</v>
      </c>
      <c r="J121" s="156">
        <v>4</v>
      </c>
      <c r="K121" s="156">
        <v>21</v>
      </c>
      <c r="L121" s="96">
        <v>-289423.89</v>
      </c>
      <c r="M121" s="92" t="s">
        <v>1138</v>
      </c>
      <c r="N121" s="100">
        <v>43910</v>
      </c>
      <c r="O121" s="100">
        <v>44299</v>
      </c>
      <c r="P121" s="100">
        <v>44272</v>
      </c>
      <c r="Q121" s="92" t="s">
        <v>1507</v>
      </c>
      <c r="R121" s="92" t="s">
        <v>655</v>
      </c>
      <c r="S121" s="92" t="s">
        <v>1508</v>
      </c>
      <c r="T121" s="92" t="s">
        <v>1412</v>
      </c>
      <c r="U121" s="92" t="s">
        <v>1509</v>
      </c>
      <c r="V121" s="92"/>
      <c r="W121" s="92"/>
      <c r="X121" s="92"/>
      <c r="Y121" s="92"/>
      <c r="Z121" s="92" t="s">
        <v>606</v>
      </c>
      <c r="AA121" s="92" t="s">
        <v>770</v>
      </c>
      <c r="AB121" s="92" t="s">
        <v>1236</v>
      </c>
      <c r="AC121" s="92" t="s">
        <v>1433</v>
      </c>
      <c r="AD121" s="92" t="s">
        <v>1002</v>
      </c>
      <c r="AE121" s="92"/>
      <c r="AF121" s="92"/>
    </row>
    <row r="122" spans="1:32" ht="12.75" customHeight="1">
      <c r="A122" s="92" t="s">
        <v>892</v>
      </c>
      <c r="B122" s="92" t="s">
        <v>1001</v>
      </c>
      <c r="C122" s="92" t="s">
        <v>922</v>
      </c>
      <c r="D122" s="92"/>
      <c r="E122" s="92" t="s">
        <v>768</v>
      </c>
      <c r="F122" s="92"/>
      <c r="G122" s="156">
        <v>9872739</v>
      </c>
      <c r="H122" s="156">
        <v>1391224</v>
      </c>
      <c r="I122" s="156" t="s">
        <v>769</v>
      </c>
      <c r="J122" s="156">
        <v>4</v>
      </c>
      <c r="K122" s="156">
        <v>21</v>
      </c>
      <c r="L122" s="96">
        <v>30000</v>
      </c>
      <c r="M122" s="92" t="s">
        <v>1513</v>
      </c>
      <c r="N122" s="100">
        <v>44312</v>
      </c>
      <c r="O122" s="100">
        <v>44313</v>
      </c>
      <c r="P122" s="100">
        <v>44313</v>
      </c>
      <c r="Q122" s="92" t="s">
        <v>1662</v>
      </c>
      <c r="R122" s="92" t="s">
        <v>1358</v>
      </c>
      <c r="S122" s="92" t="s">
        <v>1663</v>
      </c>
      <c r="T122" s="92" t="s">
        <v>1664</v>
      </c>
      <c r="U122" s="92" t="s">
        <v>1512</v>
      </c>
      <c r="V122" s="92"/>
      <c r="W122" s="92"/>
      <c r="X122" s="92"/>
      <c r="Y122" s="92"/>
      <c r="Z122" s="92" t="s">
        <v>606</v>
      </c>
      <c r="AA122" s="92" t="s">
        <v>770</v>
      </c>
      <c r="AB122" s="92" t="s">
        <v>1236</v>
      </c>
      <c r="AC122" s="92" t="s">
        <v>778</v>
      </c>
      <c r="AD122" s="92" t="s">
        <v>1002</v>
      </c>
      <c r="AE122" s="92"/>
      <c r="AF122" s="92"/>
    </row>
    <row r="123" spans="1:32" ht="12.75" customHeight="1">
      <c r="A123" s="92" t="s">
        <v>892</v>
      </c>
      <c r="B123" s="92" t="s">
        <v>52</v>
      </c>
      <c r="C123" s="92" t="s">
        <v>922</v>
      </c>
      <c r="D123" s="92"/>
      <c r="E123" s="92" t="s">
        <v>768</v>
      </c>
      <c r="F123" s="92"/>
      <c r="G123" s="156">
        <v>9861569</v>
      </c>
      <c r="H123" s="156">
        <v>1388348</v>
      </c>
      <c r="I123" s="156" t="s">
        <v>769</v>
      </c>
      <c r="J123" s="156">
        <v>4</v>
      </c>
      <c r="K123" s="156">
        <v>21</v>
      </c>
      <c r="L123" s="96">
        <v>196650</v>
      </c>
      <c r="M123" s="92" t="s">
        <v>1121</v>
      </c>
      <c r="N123" s="100">
        <v>44284</v>
      </c>
      <c r="O123" s="100">
        <v>44291</v>
      </c>
      <c r="P123" s="100">
        <v>44291</v>
      </c>
      <c r="Q123" s="92" t="s">
        <v>1665</v>
      </c>
      <c r="R123" s="92" t="s">
        <v>1129</v>
      </c>
      <c r="S123" s="92" t="s">
        <v>1666</v>
      </c>
      <c r="T123" s="92" t="s">
        <v>1667</v>
      </c>
      <c r="U123" s="92" t="s">
        <v>1668</v>
      </c>
      <c r="V123" s="92"/>
      <c r="W123" s="92"/>
      <c r="X123" s="92"/>
      <c r="Y123" s="92"/>
      <c r="Z123" s="92" t="s">
        <v>606</v>
      </c>
      <c r="AA123" s="92" t="s">
        <v>770</v>
      </c>
      <c r="AB123" s="92" t="s">
        <v>1236</v>
      </c>
      <c r="AC123" s="92" t="s">
        <v>778</v>
      </c>
      <c r="AD123" s="92" t="s">
        <v>782</v>
      </c>
      <c r="AE123" s="92"/>
      <c r="AF123" s="92"/>
    </row>
    <row r="124" spans="1:32" ht="12.75" customHeight="1">
      <c r="A124" s="92" t="s">
        <v>892</v>
      </c>
      <c r="B124" s="92" t="s">
        <v>1023</v>
      </c>
      <c r="C124" s="92" t="s">
        <v>922</v>
      </c>
      <c r="D124" s="92"/>
      <c r="E124" s="92" t="s">
        <v>49</v>
      </c>
      <c r="F124" s="92" t="s">
        <v>768</v>
      </c>
      <c r="G124" s="156">
        <v>9845809</v>
      </c>
      <c r="H124" s="156">
        <v>18046211</v>
      </c>
      <c r="I124" s="156" t="s">
        <v>772</v>
      </c>
      <c r="J124" s="156">
        <v>4</v>
      </c>
      <c r="K124" s="156">
        <v>21</v>
      </c>
      <c r="L124" s="96">
        <v>-300400</v>
      </c>
      <c r="M124" s="92" t="s">
        <v>1172</v>
      </c>
      <c r="N124" s="100">
        <v>44260</v>
      </c>
      <c r="O124" s="100">
        <v>44316</v>
      </c>
      <c r="P124" s="100">
        <v>44260</v>
      </c>
      <c r="Q124" s="92" t="s">
        <v>1171</v>
      </c>
      <c r="R124" s="92" t="s">
        <v>1171</v>
      </c>
      <c r="S124" s="92"/>
      <c r="T124" s="92">
        <v>0</v>
      </c>
      <c r="U124" s="92" t="s">
        <v>1520</v>
      </c>
      <c r="V124" s="92"/>
      <c r="W124" s="92"/>
      <c r="X124" s="92" t="s">
        <v>1251</v>
      </c>
      <c r="Y124" s="92"/>
      <c r="Z124" s="92" t="s">
        <v>606</v>
      </c>
      <c r="AA124" s="92" t="s">
        <v>770</v>
      </c>
      <c r="AB124" s="92" t="s">
        <v>1294</v>
      </c>
      <c r="AC124" s="92" t="s">
        <v>778</v>
      </c>
      <c r="AD124" s="92" t="s">
        <v>1024</v>
      </c>
      <c r="AE124" s="92"/>
      <c r="AF124" s="92"/>
    </row>
    <row r="125" spans="1:32" ht="12.75" customHeight="1">
      <c r="A125" s="92" t="s">
        <v>892</v>
      </c>
      <c r="B125" s="92" t="s">
        <v>1023</v>
      </c>
      <c r="C125" s="92" t="s">
        <v>922</v>
      </c>
      <c r="D125" s="92"/>
      <c r="E125" s="92" t="s">
        <v>49</v>
      </c>
      <c r="F125" s="92" t="s">
        <v>768</v>
      </c>
      <c r="G125" s="156">
        <v>9845809</v>
      </c>
      <c r="H125" s="156">
        <v>18046211</v>
      </c>
      <c r="I125" s="156" t="s">
        <v>772</v>
      </c>
      <c r="J125" s="156">
        <v>4</v>
      </c>
      <c r="K125" s="156">
        <v>21</v>
      </c>
      <c r="L125" s="96">
        <v>300400</v>
      </c>
      <c r="M125" s="92" t="s">
        <v>1172</v>
      </c>
      <c r="N125" s="100">
        <v>44260</v>
      </c>
      <c r="O125" s="100">
        <v>44316</v>
      </c>
      <c r="P125" s="100">
        <v>44260</v>
      </c>
      <c r="Q125" s="92" t="s">
        <v>1171</v>
      </c>
      <c r="R125" s="92" t="s">
        <v>1171</v>
      </c>
      <c r="S125" s="92"/>
      <c r="T125" s="92">
        <v>0</v>
      </c>
      <c r="U125" s="92" t="s">
        <v>1520</v>
      </c>
      <c r="V125" s="92"/>
      <c r="W125" s="92"/>
      <c r="X125" s="92" t="s">
        <v>1251</v>
      </c>
      <c r="Y125" s="92"/>
      <c r="Z125" s="92" t="s">
        <v>606</v>
      </c>
      <c r="AA125" s="92" t="s">
        <v>770</v>
      </c>
      <c r="AB125" s="92" t="s">
        <v>1294</v>
      </c>
      <c r="AC125" s="92" t="s">
        <v>778</v>
      </c>
      <c r="AD125" s="92" t="s">
        <v>1024</v>
      </c>
      <c r="AE125" s="92"/>
      <c r="AF125" s="92"/>
    </row>
    <row r="126" spans="1:32" ht="12.75" customHeight="1">
      <c r="A126" s="92" t="s">
        <v>892</v>
      </c>
      <c r="B126" s="92" t="s">
        <v>1023</v>
      </c>
      <c r="C126" s="92" t="s">
        <v>922</v>
      </c>
      <c r="D126" s="92"/>
      <c r="E126" s="92" t="s">
        <v>49</v>
      </c>
      <c r="F126" s="92"/>
      <c r="G126" s="156">
        <v>9846584</v>
      </c>
      <c r="H126" s="156">
        <v>18048154</v>
      </c>
      <c r="I126" s="156" t="s">
        <v>772</v>
      </c>
      <c r="J126" s="156">
        <v>4</v>
      </c>
      <c r="K126" s="156">
        <v>21</v>
      </c>
      <c r="L126" s="96">
        <v>-113795</v>
      </c>
      <c r="M126" s="92" t="s">
        <v>1669</v>
      </c>
      <c r="N126" s="100">
        <v>44316</v>
      </c>
      <c r="O126" s="100">
        <v>44316</v>
      </c>
      <c r="P126" s="100">
        <v>44264</v>
      </c>
      <c r="Q126" s="92" t="s">
        <v>1670</v>
      </c>
      <c r="R126" s="92" t="s">
        <v>1670</v>
      </c>
      <c r="S126" s="92"/>
      <c r="T126" s="92">
        <v>0</v>
      </c>
      <c r="U126" s="92" t="s">
        <v>1671</v>
      </c>
      <c r="V126" s="92"/>
      <c r="W126" s="92"/>
      <c r="X126" s="92" t="s">
        <v>1251</v>
      </c>
      <c r="Y126" s="92"/>
      <c r="Z126" s="92" t="s">
        <v>606</v>
      </c>
      <c r="AA126" s="92" t="s">
        <v>770</v>
      </c>
      <c r="AB126" s="92" t="s">
        <v>1294</v>
      </c>
      <c r="AC126" s="92" t="s">
        <v>778</v>
      </c>
      <c r="AD126" s="92" t="s">
        <v>1024</v>
      </c>
      <c r="AE126" s="92"/>
      <c r="AF126" s="92"/>
    </row>
    <row r="127" spans="1:32" ht="12.75" customHeight="1">
      <c r="A127" s="92" t="s">
        <v>892</v>
      </c>
      <c r="B127" s="92" t="s">
        <v>1023</v>
      </c>
      <c r="C127" s="92" t="s">
        <v>922</v>
      </c>
      <c r="D127" s="92"/>
      <c r="E127" s="92" t="s">
        <v>49</v>
      </c>
      <c r="F127" s="92"/>
      <c r="G127" s="156">
        <v>9861108</v>
      </c>
      <c r="H127" s="156">
        <v>18050135</v>
      </c>
      <c r="I127" s="156" t="s">
        <v>772</v>
      </c>
      <c r="J127" s="156">
        <v>4</v>
      </c>
      <c r="K127" s="156">
        <v>21</v>
      </c>
      <c r="L127" s="96">
        <v>-340513.42</v>
      </c>
      <c r="M127" s="92" t="s">
        <v>1672</v>
      </c>
      <c r="N127" s="100">
        <v>44316</v>
      </c>
      <c r="O127" s="100">
        <v>44316</v>
      </c>
      <c r="P127" s="100">
        <v>44288</v>
      </c>
      <c r="Q127" s="92" t="s">
        <v>1673</v>
      </c>
      <c r="R127" s="92" t="s">
        <v>1673</v>
      </c>
      <c r="S127" s="92"/>
      <c r="T127" s="92">
        <v>0</v>
      </c>
      <c r="U127" s="92" t="s">
        <v>1674</v>
      </c>
      <c r="V127" s="92"/>
      <c r="W127" s="92"/>
      <c r="X127" s="92" t="s">
        <v>1251</v>
      </c>
      <c r="Y127" s="92"/>
      <c r="Z127" s="92" t="s">
        <v>606</v>
      </c>
      <c r="AA127" s="92" t="s">
        <v>770</v>
      </c>
      <c r="AB127" s="92" t="s">
        <v>1294</v>
      </c>
      <c r="AC127" s="92" t="s">
        <v>778</v>
      </c>
      <c r="AD127" s="92" t="s">
        <v>1024</v>
      </c>
      <c r="AE127" s="92"/>
      <c r="AF127" s="92"/>
    </row>
    <row r="128" spans="1:32" ht="12.75" customHeight="1">
      <c r="A128" s="92" t="s">
        <v>892</v>
      </c>
      <c r="B128" s="92" t="s">
        <v>1023</v>
      </c>
      <c r="C128" s="92" t="s">
        <v>922</v>
      </c>
      <c r="D128" s="92"/>
      <c r="E128" s="92" t="s">
        <v>49</v>
      </c>
      <c r="F128" s="92"/>
      <c r="G128" s="156">
        <v>9861108</v>
      </c>
      <c r="H128" s="156">
        <v>18050136</v>
      </c>
      <c r="I128" s="156" t="s">
        <v>772</v>
      </c>
      <c r="J128" s="156">
        <v>4</v>
      </c>
      <c r="K128" s="156">
        <v>21</v>
      </c>
      <c r="L128" s="96">
        <v>-200000</v>
      </c>
      <c r="M128" s="92" t="s">
        <v>1675</v>
      </c>
      <c r="N128" s="100">
        <v>44316</v>
      </c>
      <c r="O128" s="100">
        <v>44316</v>
      </c>
      <c r="P128" s="100">
        <v>44288</v>
      </c>
      <c r="Q128" s="92" t="s">
        <v>1676</v>
      </c>
      <c r="R128" s="92" t="s">
        <v>1676</v>
      </c>
      <c r="S128" s="92"/>
      <c r="T128" s="92">
        <v>0</v>
      </c>
      <c r="U128" s="92" t="s">
        <v>1677</v>
      </c>
      <c r="V128" s="92"/>
      <c r="W128" s="92"/>
      <c r="X128" s="92"/>
      <c r="Y128" s="92"/>
      <c r="Z128" s="92" t="s">
        <v>606</v>
      </c>
      <c r="AA128" s="92" t="s">
        <v>770</v>
      </c>
      <c r="AB128" s="92" t="s">
        <v>1294</v>
      </c>
      <c r="AC128" s="92" t="s">
        <v>778</v>
      </c>
      <c r="AD128" s="92" t="s">
        <v>1024</v>
      </c>
      <c r="AE128" s="92"/>
      <c r="AF128" s="92"/>
    </row>
    <row r="129" spans="1:32" ht="12.75" customHeight="1">
      <c r="A129" s="92" t="s">
        <v>892</v>
      </c>
      <c r="B129" s="92" t="s">
        <v>1005</v>
      </c>
      <c r="C129" s="92" t="s">
        <v>922</v>
      </c>
      <c r="D129" s="92"/>
      <c r="E129" s="92" t="s">
        <v>49</v>
      </c>
      <c r="F129" s="92"/>
      <c r="G129" s="156">
        <v>9874689</v>
      </c>
      <c r="H129" s="156">
        <v>18123778</v>
      </c>
      <c r="I129" s="156" t="s">
        <v>772</v>
      </c>
      <c r="J129" s="156">
        <v>4</v>
      </c>
      <c r="K129" s="156">
        <v>21</v>
      </c>
      <c r="L129" s="96">
        <v>-60000</v>
      </c>
      <c r="M129" s="92" t="s">
        <v>1678</v>
      </c>
      <c r="N129" s="100">
        <v>44316</v>
      </c>
      <c r="O129" s="100">
        <v>44316</v>
      </c>
      <c r="P129" s="100">
        <v>44316</v>
      </c>
      <c r="Q129" s="92" t="s">
        <v>1679</v>
      </c>
      <c r="R129" s="92" t="s">
        <v>1679</v>
      </c>
      <c r="S129" s="92"/>
      <c r="T129" s="92">
        <v>0</v>
      </c>
      <c r="U129" s="92" t="s">
        <v>1680</v>
      </c>
      <c r="V129" s="92"/>
      <c r="W129" s="92"/>
      <c r="X129" s="92" t="s">
        <v>1251</v>
      </c>
      <c r="Y129" s="92"/>
      <c r="Z129" s="92" t="s">
        <v>606</v>
      </c>
      <c r="AA129" s="92" t="s">
        <v>770</v>
      </c>
      <c r="AB129" s="92" t="s">
        <v>1294</v>
      </c>
      <c r="AC129" s="92" t="s">
        <v>778</v>
      </c>
      <c r="AD129" s="92" t="s">
        <v>1006</v>
      </c>
      <c r="AE129" s="92"/>
      <c r="AF129" s="92"/>
    </row>
    <row r="130" spans="1:32" ht="12.75" customHeight="1">
      <c r="A130" s="92" t="s">
        <v>892</v>
      </c>
      <c r="B130" s="92" t="s">
        <v>62</v>
      </c>
      <c r="C130" s="92" t="s">
        <v>922</v>
      </c>
      <c r="D130" s="92"/>
      <c r="E130" s="92" t="s">
        <v>768</v>
      </c>
      <c r="F130" s="92"/>
      <c r="G130" s="156">
        <v>9859717</v>
      </c>
      <c r="H130" s="156">
        <v>1387662</v>
      </c>
      <c r="I130" s="156" t="s">
        <v>769</v>
      </c>
      <c r="J130" s="156">
        <v>4</v>
      </c>
      <c r="K130" s="156">
        <v>21</v>
      </c>
      <c r="L130" s="96">
        <v>89480</v>
      </c>
      <c r="M130" s="92"/>
      <c r="N130" s="100">
        <v>44277</v>
      </c>
      <c r="O130" s="100">
        <v>44287</v>
      </c>
      <c r="P130" s="100">
        <v>44287</v>
      </c>
      <c r="Q130" s="92" t="s">
        <v>1681</v>
      </c>
      <c r="R130" s="92" t="s">
        <v>1201</v>
      </c>
      <c r="S130" s="92" t="s">
        <v>1682</v>
      </c>
      <c r="T130" s="92" t="s">
        <v>1683</v>
      </c>
      <c r="U130" s="92" t="s">
        <v>1684</v>
      </c>
      <c r="V130" s="92"/>
      <c r="W130" s="92"/>
      <c r="X130" s="92"/>
      <c r="Y130" s="92"/>
      <c r="Z130" s="92" t="s">
        <v>606</v>
      </c>
      <c r="AA130" s="92" t="s">
        <v>770</v>
      </c>
      <c r="AB130" s="92" t="s">
        <v>1236</v>
      </c>
      <c r="AC130" s="92" t="s">
        <v>778</v>
      </c>
      <c r="AD130" s="92" t="s">
        <v>914</v>
      </c>
      <c r="AE130" s="92"/>
      <c r="AF130" s="92"/>
    </row>
    <row r="131" spans="1:32" ht="12.75" customHeight="1">
      <c r="A131" s="92" t="s">
        <v>892</v>
      </c>
      <c r="B131" s="92" t="s">
        <v>62</v>
      </c>
      <c r="C131" s="92" t="s">
        <v>922</v>
      </c>
      <c r="D131" s="92"/>
      <c r="E131" s="92" t="s">
        <v>768</v>
      </c>
      <c r="F131" s="92"/>
      <c r="G131" s="156">
        <v>9872536</v>
      </c>
      <c r="H131" s="156">
        <v>1391179</v>
      </c>
      <c r="I131" s="156" t="s">
        <v>769</v>
      </c>
      <c r="J131" s="156">
        <v>4</v>
      </c>
      <c r="K131" s="156">
        <v>21</v>
      </c>
      <c r="L131" s="96">
        <v>1125000</v>
      </c>
      <c r="M131" s="92" t="s">
        <v>1685</v>
      </c>
      <c r="N131" s="100">
        <v>44257</v>
      </c>
      <c r="O131" s="100">
        <v>44313</v>
      </c>
      <c r="P131" s="100">
        <v>44313</v>
      </c>
      <c r="Q131" s="92" t="s">
        <v>1686</v>
      </c>
      <c r="R131" s="92" t="s">
        <v>802</v>
      </c>
      <c r="S131" s="92" t="s">
        <v>1687</v>
      </c>
      <c r="T131" s="92" t="s">
        <v>1688</v>
      </c>
      <c r="U131" s="92" t="s">
        <v>1689</v>
      </c>
      <c r="V131" s="92"/>
      <c r="W131" s="92"/>
      <c r="X131" s="92"/>
      <c r="Y131" s="92"/>
      <c r="Z131" s="92" t="s">
        <v>606</v>
      </c>
      <c r="AA131" s="92" t="s">
        <v>770</v>
      </c>
      <c r="AB131" s="92" t="s">
        <v>1236</v>
      </c>
      <c r="AC131" s="92" t="s">
        <v>778</v>
      </c>
      <c r="AD131" s="92" t="s">
        <v>914</v>
      </c>
      <c r="AE131" s="92"/>
      <c r="AF131" s="92"/>
    </row>
    <row r="132" spans="1:32" ht="12.75" customHeight="1">
      <c r="A132" s="92" t="s">
        <v>892</v>
      </c>
      <c r="B132" s="92" t="s">
        <v>66</v>
      </c>
      <c r="C132" s="92" t="s">
        <v>922</v>
      </c>
      <c r="D132" s="92"/>
      <c r="E132" s="92" t="s">
        <v>49</v>
      </c>
      <c r="F132" s="92"/>
      <c r="G132" s="156">
        <v>9874840</v>
      </c>
      <c r="H132" s="156">
        <v>18123825</v>
      </c>
      <c r="I132" s="156" t="s">
        <v>772</v>
      </c>
      <c r="J132" s="156">
        <v>4</v>
      </c>
      <c r="K132" s="156">
        <v>21</v>
      </c>
      <c r="L132" s="96">
        <v>162000</v>
      </c>
      <c r="M132" s="92" t="s">
        <v>1249</v>
      </c>
      <c r="N132" s="100">
        <v>44316</v>
      </c>
      <c r="O132" s="100">
        <v>44316</v>
      </c>
      <c r="P132" s="100">
        <v>44316</v>
      </c>
      <c r="Q132" s="92"/>
      <c r="R132" s="92" t="s">
        <v>1690</v>
      </c>
      <c r="S132" s="92"/>
      <c r="T132" s="92">
        <v>0</v>
      </c>
      <c r="U132" s="92" t="s">
        <v>1394</v>
      </c>
      <c r="V132" s="92"/>
      <c r="W132" s="92"/>
      <c r="X132" s="92"/>
      <c r="Y132" s="92"/>
      <c r="Z132" s="92" t="s">
        <v>606</v>
      </c>
      <c r="AA132" s="92" t="s">
        <v>770</v>
      </c>
      <c r="AB132" s="92" t="s">
        <v>1285</v>
      </c>
      <c r="AC132" s="92" t="s">
        <v>1306</v>
      </c>
      <c r="AD132" s="92" t="s">
        <v>783</v>
      </c>
      <c r="AE132" s="92"/>
      <c r="AF132" s="92"/>
    </row>
    <row r="133" spans="1:32" ht="12.75" customHeight="1">
      <c r="A133" s="92" t="s">
        <v>620</v>
      </c>
      <c r="B133" s="92" t="s">
        <v>71</v>
      </c>
      <c r="C133" s="92" t="s">
        <v>922</v>
      </c>
      <c r="D133" s="92"/>
      <c r="E133" s="92" t="s">
        <v>768</v>
      </c>
      <c r="F133" s="92"/>
      <c r="G133" s="156">
        <v>9866042</v>
      </c>
      <c r="H133" s="156">
        <v>1389407</v>
      </c>
      <c r="I133" s="156" t="s">
        <v>769</v>
      </c>
      <c r="J133" s="156">
        <v>4</v>
      </c>
      <c r="K133" s="156">
        <v>21</v>
      </c>
      <c r="L133" s="96">
        <v>20000</v>
      </c>
      <c r="M133" s="92" t="s">
        <v>1691</v>
      </c>
      <c r="N133" s="100">
        <v>44294</v>
      </c>
      <c r="O133" s="100">
        <v>44300</v>
      </c>
      <c r="P133" s="100">
        <v>44300</v>
      </c>
      <c r="Q133" s="92" t="s">
        <v>1692</v>
      </c>
      <c r="R133" s="92" t="s">
        <v>1358</v>
      </c>
      <c r="S133" s="92" t="s">
        <v>1693</v>
      </c>
      <c r="T133" s="92" t="s">
        <v>1664</v>
      </c>
      <c r="U133" s="92" t="s">
        <v>1694</v>
      </c>
      <c r="V133" s="92"/>
      <c r="W133" s="92"/>
      <c r="X133" s="92"/>
      <c r="Y133" s="92"/>
      <c r="Z133" s="92" t="s">
        <v>606</v>
      </c>
      <c r="AA133" s="92" t="s">
        <v>770</v>
      </c>
      <c r="AB133" s="92" t="s">
        <v>1236</v>
      </c>
      <c r="AC133" s="92" t="s">
        <v>778</v>
      </c>
      <c r="AD133" s="92" t="s">
        <v>910</v>
      </c>
      <c r="AE133" s="92"/>
      <c r="AF133" s="92"/>
    </row>
    <row r="134" spans="1:32" ht="12.75" customHeight="1">
      <c r="A134" s="92" t="s">
        <v>620</v>
      </c>
      <c r="B134" s="92" t="s">
        <v>57</v>
      </c>
      <c r="C134" s="92" t="s">
        <v>922</v>
      </c>
      <c r="D134" s="92"/>
      <c r="E134" s="92" t="s">
        <v>49</v>
      </c>
      <c r="F134" s="92"/>
      <c r="G134" s="156">
        <v>9874631</v>
      </c>
      <c r="H134" s="156">
        <v>18123763</v>
      </c>
      <c r="I134" s="156" t="s">
        <v>772</v>
      </c>
      <c r="J134" s="156">
        <v>4</v>
      </c>
      <c r="K134" s="156">
        <v>21</v>
      </c>
      <c r="L134" s="96">
        <v>-135000</v>
      </c>
      <c r="M134" s="92" t="s">
        <v>1695</v>
      </c>
      <c r="N134" s="100">
        <v>44316</v>
      </c>
      <c r="O134" s="100">
        <v>44316</v>
      </c>
      <c r="P134" s="100">
        <v>44316</v>
      </c>
      <c r="Q134" s="92" t="s">
        <v>1696</v>
      </c>
      <c r="R134" s="92" t="s">
        <v>1696</v>
      </c>
      <c r="S134" s="92"/>
      <c r="T134" s="92">
        <v>0</v>
      </c>
      <c r="U134" s="92" t="s">
        <v>1697</v>
      </c>
      <c r="V134" s="92"/>
      <c r="W134" s="92"/>
      <c r="X134" s="92" t="s">
        <v>1251</v>
      </c>
      <c r="Y134" s="92"/>
      <c r="Z134" s="92" t="s">
        <v>606</v>
      </c>
      <c r="AA134" s="92" t="s">
        <v>770</v>
      </c>
      <c r="AB134" s="92" t="s">
        <v>1294</v>
      </c>
      <c r="AC134" s="92" t="s">
        <v>778</v>
      </c>
      <c r="AD134" s="92" t="s">
        <v>932</v>
      </c>
      <c r="AE134" s="92"/>
      <c r="AF134" s="92"/>
    </row>
    <row r="135" spans="1:32" ht="12.75" customHeight="1">
      <c r="A135" s="92" t="s">
        <v>620</v>
      </c>
      <c r="B135" s="92" t="s">
        <v>59</v>
      </c>
      <c r="C135" s="92" t="s">
        <v>922</v>
      </c>
      <c r="D135" s="92"/>
      <c r="E135" s="92" t="s">
        <v>768</v>
      </c>
      <c r="F135" s="92"/>
      <c r="G135" s="156">
        <v>9860874</v>
      </c>
      <c r="H135" s="156">
        <v>1388064</v>
      </c>
      <c r="I135" s="156" t="s">
        <v>769</v>
      </c>
      <c r="J135" s="156">
        <v>4</v>
      </c>
      <c r="K135" s="156">
        <v>21</v>
      </c>
      <c r="L135" s="96">
        <v>19643.900000000001</v>
      </c>
      <c r="M135" s="92"/>
      <c r="N135" s="100">
        <v>44165</v>
      </c>
      <c r="O135" s="100">
        <v>44288</v>
      </c>
      <c r="P135" s="100">
        <v>44288</v>
      </c>
      <c r="Q135" s="92" t="s">
        <v>1698</v>
      </c>
      <c r="R135" s="92" t="s">
        <v>1316</v>
      </c>
      <c r="S135" s="92" t="s">
        <v>1699</v>
      </c>
      <c r="T135" s="92" t="s">
        <v>1700</v>
      </c>
      <c r="U135" s="92" t="s">
        <v>1701</v>
      </c>
      <c r="V135" s="92"/>
      <c r="W135" s="92"/>
      <c r="X135" s="92"/>
      <c r="Y135" s="92"/>
      <c r="Z135" s="92" t="s">
        <v>606</v>
      </c>
      <c r="AA135" s="92" t="s">
        <v>770</v>
      </c>
      <c r="AB135" s="92" t="s">
        <v>1236</v>
      </c>
      <c r="AC135" s="92" t="s">
        <v>778</v>
      </c>
      <c r="AD135" s="92" t="s">
        <v>909</v>
      </c>
      <c r="AE135" s="92"/>
      <c r="AF135" s="92"/>
    </row>
    <row r="136" spans="1:32" ht="12.75" customHeight="1">
      <c r="A136" s="92" t="s">
        <v>620</v>
      </c>
      <c r="B136" s="92" t="s">
        <v>59</v>
      </c>
      <c r="C136" s="92" t="s">
        <v>922</v>
      </c>
      <c r="D136" s="92"/>
      <c r="E136" s="92" t="s">
        <v>768</v>
      </c>
      <c r="F136" s="92"/>
      <c r="G136" s="156">
        <v>9860892</v>
      </c>
      <c r="H136" s="156">
        <v>1388082</v>
      </c>
      <c r="I136" s="156" t="s">
        <v>769</v>
      </c>
      <c r="J136" s="156">
        <v>4</v>
      </c>
      <c r="K136" s="156">
        <v>21</v>
      </c>
      <c r="L136" s="96">
        <v>37500</v>
      </c>
      <c r="M136" s="92" t="s">
        <v>1702</v>
      </c>
      <c r="N136" s="100">
        <v>44285</v>
      </c>
      <c r="O136" s="100">
        <v>44288</v>
      </c>
      <c r="P136" s="100">
        <v>44288</v>
      </c>
      <c r="Q136" s="92" t="s">
        <v>1703</v>
      </c>
      <c r="R136" s="92" t="s">
        <v>917</v>
      </c>
      <c r="S136" s="92" t="s">
        <v>1704</v>
      </c>
      <c r="T136" s="92" t="s">
        <v>1705</v>
      </c>
      <c r="U136" s="92" t="s">
        <v>1706</v>
      </c>
      <c r="V136" s="92"/>
      <c r="W136" s="92"/>
      <c r="X136" s="92"/>
      <c r="Y136" s="92"/>
      <c r="Z136" s="92" t="s">
        <v>606</v>
      </c>
      <c r="AA136" s="92" t="s">
        <v>770</v>
      </c>
      <c r="AB136" s="92" t="s">
        <v>1236</v>
      </c>
      <c r="AC136" s="92" t="s">
        <v>778</v>
      </c>
      <c r="AD136" s="92" t="s">
        <v>909</v>
      </c>
      <c r="AE136" s="92"/>
      <c r="AF136" s="92"/>
    </row>
    <row r="137" spans="1:32" ht="12.75" customHeight="1">
      <c r="A137" s="92" t="s">
        <v>620</v>
      </c>
      <c r="B137" s="92" t="s">
        <v>60</v>
      </c>
      <c r="C137" s="92" t="s">
        <v>922</v>
      </c>
      <c r="D137" s="92"/>
      <c r="E137" s="92" t="s">
        <v>768</v>
      </c>
      <c r="F137" s="92"/>
      <c r="G137" s="156">
        <v>9870898</v>
      </c>
      <c r="H137" s="156">
        <v>1390644</v>
      </c>
      <c r="I137" s="156" t="s">
        <v>769</v>
      </c>
      <c r="J137" s="156">
        <v>4</v>
      </c>
      <c r="K137" s="156">
        <v>21</v>
      </c>
      <c r="L137" s="96">
        <v>25000</v>
      </c>
      <c r="M137" s="92" t="s">
        <v>1707</v>
      </c>
      <c r="N137" s="100">
        <v>44113</v>
      </c>
      <c r="O137" s="100">
        <v>44308</v>
      </c>
      <c r="P137" s="100">
        <v>44308</v>
      </c>
      <c r="Q137" s="92" t="s">
        <v>1708</v>
      </c>
      <c r="R137" s="92" t="s">
        <v>1709</v>
      </c>
      <c r="S137" s="92" t="s">
        <v>1710</v>
      </c>
      <c r="T137" s="92" t="s">
        <v>1709</v>
      </c>
      <c r="U137" s="92" t="s">
        <v>1711</v>
      </c>
      <c r="V137" s="92"/>
      <c r="W137" s="92"/>
      <c r="X137" s="92"/>
      <c r="Y137" s="92"/>
      <c r="Z137" s="92" t="s">
        <v>606</v>
      </c>
      <c r="AA137" s="92" t="s">
        <v>770</v>
      </c>
      <c r="AB137" s="92" t="s">
        <v>1236</v>
      </c>
      <c r="AC137" s="92" t="s">
        <v>778</v>
      </c>
      <c r="AD137" s="92" t="s">
        <v>913</v>
      </c>
      <c r="AE137" s="92"/>
      <c r="AF137" s="92"/>
    </row>
    <row r="138" spans="1:32" ht="12.75" customHeight="1">
      <c r="A138" s="92" t="s">
        <v>620</v>
      </c>
      <c r="B138" s="92" t="s">
        <v>55</v>
      </c>
      <c r="C138" s="92" t="s">
        <v>922</v>
      </c>
      <c r="D138" s="92"/>
      <c r="E138" s="92" t="s">
        <v>49</v>
      </c>
      <c r="F138" s="92" t="s">
        <v>768</v>
      </c>
      <c r="G138" s="156">
        <v>9863056</v>
      </c>
      <c r="H138" s="156">
        <v>18050911</v>
      </c>
      <c r="I138" s="156" t="s">
        <v>772</v>
      </c>
      <c r="J138" s="156">
        <v>4</v>
      </c>
      <c r="K138" s="156">
        <v>21</v>
      </c>
      <c r="L138" s="96">
        <v>-25000</v>
      </c>
      <c r="M138" s="92" t="s">
        <v>1712</v>
      </c>
      <c r="N138" s="100">
        <v>44294</v>
      </c>
      <c r="O138" s="100">
        <v>44294</v>
      </c>
      <c r="P138" s="100">
        <v>44294</v>
      </c>
      <c r="Q138" s="92" t="s">
        <v>1713</v>
      </c>
      <c r="R138" s="92" t="s">
        <v>1714</v>
      </c>
      <c r="S138" s="92"/>
      <c r="T138" s="92">
        <v>0</v>
      </c>
      <c r="U138" s="92" t="s">
        <v>1715</v>
      </c>
      <c r="V138" s="92"/>
      <c r="W138" s="92"/>
      <c r="X138" s="92" t="s">
        <v>773</v>
      </c>
      <c r="Y138" s="92"/>
      <c r="Z138" s="92" t="s">
        <v>606</v>
      </c>
      <c r="AA138" s="92" t="s">
        <v>770</v>
      </c>
      <c r="AB138" s="92" t="s">
        <v>1299</v>
      </c>
      <c r="AC138" s="92" t="s">
        <v>1304</v>
      </c>
      <c r="AD138" s="92" t="s">
        <v>779</v>
      </c>
      <c r="AE138" s="92"/>
      <c r="AF138" s="92"/>
    </row>
    <row r="139" spans="1:32" ht="12.75" customHeight="1">
      <c r="A139" s="92" t="s">
        <v>620</v>
      </c>
      <c r="B139" s="92" t="s">
        <v>55</v>
      </c>
      <c r="C139" s="92" t="s">
        <v>922</v>
      </c>
      <c r="D139" s="92"/>
      <c r="E139" s="92" t="s">
        <v>49</v>
      </c>
      <c r="F139" s="92" t="s">
        <v>768</v>
      </c>
      <c r="G139" s="156">
        <v>9863056</v>
      </c>
      <c r="H139" s="156">
        <v>18050911</v>
      </c>
      <c r="I139" s="156" t="s">
        <v>772</v>
      </c>
      <c r="J139" s="156">
        <v>4</v>
      </c>
      <c r="K139" s="156">
        <v>21</v>
      </c>
      <c r="L139" s="96">
        <v>25000</v>
      </c>
      <c r="M139" s="92" t="s">
        <v>1712</v>
      </c>
      <c r="N139" s="100">
        <v>44294</v>
      </c>
      <c r="O139" s="100">
        <v>44294</v>
      </c>
      <c r="P139" s="100">
        <v>44294</v>
      </c>
      <c r="Q139" s="92" t="s">
        <v>1713</v>
      </c>
      <c r="R139" s="92" t="s">
        <v>1714</v>
      </c>
      <c r="S139" s="92"/>
      <c r="T139" s="92">
        <v>0</v>
      </c>
      <c r="U139" s="92" t="s">
        <v>1715</v>
      </c>
      <c r="V139" s="92"/>
      <c r="W139" s="92"/>
      <c r="X139" s="92" t="s">
        <v>773</v>
      </c>
      <c r="Y139" s="92"/>
      <c r="Z139" s="92" t="s">
        <v>606</v>
      </c>
      <c r="AA139" s="92" t="s">
        <v>770</v>
      </c>
      <c r="AB139" s="92" t="s">
        <v>1299</v>
      </c>
      <c r="AC139" s="92" t="s">
        <v>1304</v>
      </c>
      <c r="AD139" s="92" t="s">
        <v>779</v>
      </c>
      <c r="AE139" s="92"/>
      <c r="AF139" s="92"/>
    </row>
    <row r="140" spans="1:32" ht="12.75" customHeight="1">
      <c r="A140" s="92" t="s">
        <v>620</v>
      </c>
      <c r="B140" s="92" t="s">
        <v>55</v>
      </c>
      <c r="C140" s="92" t="s">
        <v>922</v>
      </c>
      <c r="D140" s="92"/>
      <c r="E140" s="92" t="s">
        <v>49</v>
      </c>
      <c r="F140" s="92" t="s">
        <v>768</v>
      </c>
      <c r="G140" s="156">
        <v>9863056</v>
      </c>
      <c r="H140" s="156">
        <v>18050911</v>
      </c>
      <c r="I140" s="156" t="s">
        <v>772</v>
      </c>
      <c r="J140" s="156">
        <v>4</v>
      </c>
      <c r="K140" s="156">
        <v>21</v>
      </c>
      <c r="L140" s="96">
        <v>-36000</v>
      </c>
      <c r="M140" s="92" t="s">
        <v>1716</v>
      </c>
      <c r="N140" s="100">
        <v>44294</v>
      </c>
      <c r="O140" s="100">
        <v>44294</v>
      </c>
      <c r="P140" s="100">
        <v>44294</v>
      </c>
      <c r="Q140" s="92" t="s">
        <v>1717</v>
      </c>
      <c r="R140" s="92" t="s">
        <v>1714</v>
      </c>
      <c r="S140" s="92"/>
      <c r="T140" s="92">
        <v>0</v>
      </c>
      <c r="U140" s="92" t="s">
        <v>1718</v>
      </c>
      <c r="V140" s="92"/>
      <c r="W140" s="92"/>
      <c r="X140" s="92" t="s">
        <v>773</v>
      </c>
      <c r="Y140" s="92"/>
      <c r="Z140" s="92" t="s">
        <v>606</v>
      </c>
      <c r="AA140" s="92" t="s">
        <v>770</v>
      </c>
      <c r="AB140" s="92" t="s">
        <v>1299</v>
      </c>
      <c r="AC140" s="92" t="s">
        <v>1304</v>
      </c>
      <c r="AD140" s="92" t="s">
        <v>779</v>
      </c>
      <c r="AE140" s="92"/>
      <c r="AF140" s="92"/>
    </row>
    <row r="141" spans="1:32" ht="12.75" customHeight="1">
      <c r="A141" s="92" t="s">
        <v>620</v>
      </c>
      <c r="B141" s="92" t="s">
        <v>55</v>
      </c>
      <c r="C141" s="92" t="s">
        <v>922</v>
      </c>
      <c r="D141" s="92"/>
      <c r="E141" s="92" t="s">
        <v>49</v>
      </c>
      <c r="F141" s="92" t="s">
        <v>768</v>
      </c>
      <c r="G141" s="156">
        <v>9863056</v>
      </c>
      <c r="H141" s="156">
        <v>18050911</v>
      </c>
      <c r="I141" s="156" t="s">
        <v>772</v>
      </c>
      <c r="J141" s="156">
        <v>4</v>
      </c>
      <c r="K141" s="156">
        <v>21</v>
      </c>
      <c r="L141" s="96">
        <v>36000</v>
      </c>
      <c r="M141" s="92" t="s">
        <v>1716</v>
      </c>
      <c r="N141" s="100">
        <v>44294</v>
      </c>
      <c r="O141" s="100">
        <v>44294</v>
      </c>
      <c r="P141" s="100">
        <v>44294</v>
      </c>
      <c r="Q141" s="92" t="s">
        <v>1717</v>
      </c>
      <c r="R141" s="92" t="s">
        <v>1714</v>
      </c>
      <c r="S141" s="92"/>
      <c r="T141" s="92">
        <v>0</v>
      </c>
      <c r="U141" s="92" t="s">
        <v>1718</v>
      </c>
      <c r="V141" s="92"/>
      <c r="W141" s="92"/>
      <c r="X141" s="92" t="s">
        <v>773</v>
      </c>
      <c r="Y141" s="92"/>
      <c r="Z141" s="92" t="s">
        <v>606</v>
      </c>
      <c r="AA141" s="92" t="s">
        <v>770</v>
      </c>
      <c r="AB141" s="92" t="s">
        <v>1299</v>
      </c>
      <c r="AC141" s="92" t="s">
        <v>1304</v>
      </c>
      <c r="AD141" s="92" t="s">
        <v>779</v>
      </c>
      <c r="AE141" s="92"/>
      <c r="AF141" s="92"/>
    </row>
    <row r="142" spans="1:32" ht="12.75" customHeight="1">
      <c r="A142" s="92" t="s">
        <v>620</v>
      </c>
      <c r="B142" s="92" t="s">
        <v>55</v>
      </c>
      <c r="C142" s="92" t="s">
        <v>922</v>
      </c>
      <c r="D142" s="92"/>
      <c r="E142" s="92" t="s">
        <v>49</v>
      </c>
      <c r="F142" s="92"/>
      <c r="G142" s="156">
        <v>9866911</v>
      </c>
      <c r="H142" s="156">
        <v>18051540</v>
      </c>
      <c r="I142" s="156" t="s">
        <v>772</v>
      </c>
      <c r="J142" s="156">
        <v>4</v>
      </c>
      <c r="K142" s="156">
        <v>21</v>
      </c>
      <c r="L142" s="96">
        <v>-25000</v>
      </c>
      <c r="M142" s="92" t="s">
        <v>1712</v>
      </c>
      <c r="N142" s="100">
        <v>44301</v>
      </c>
      <c r="O142" s="100">
        <v>44301</v>
      </c>
      <c r="P142" s="100">
        <v>44301</v>
      </c>
      <c r="Q142" s="92" t="s">
        <v>1713</v>
      </c>
      <c r="R142" s="92" t="s">
        <v>1719</v>
      </c>
      <c r="S142" s="92"/>
      <c r="T142" s="92">
        <v>0</v>
      </c>
      <c r="U142" s="92" t="s">
        <v>1715</v>
      </c>
      <c r="V142" s="92"/>
      <c r="W142" s="92"/>
      <c r="X142" s="92" t="s">
        <v>773</v>
      </c>
      <c r="Y142" s="92"/>
      <c r="Z142" s="92" t="s">
        <v>606</v>
      </c>
      <c r="AA142" s="92" t="s">
        <v>770</v>
      </c>
      <c r="AB142" s="92" t="s">
        <v>1299</v>
      </c>
      <c r="AC142" s="92" t="s">
        <v>1304</v>
      </c>
      <c r="AD142" s="92" t="s">
        <v>779</v>
      </c>
      <c r="AE142" s="92"/>
      <c r="AF142" s="92"/>
    </row>
    <row r="143" spans="1:32" ht="12.75" customHeight="1">
      <c r="A143" s="98" t="s">
        <v>620</v>
      </c>
      <c r="B143" s="98" t="s">
        <v>55</v>
      </c>
      <c r="C143" s="98" t="s">
        <v>922</v>
      </c>
      <c r="D143" s="98"/>
      <c r="E143" s="98" t="s">
        <v>49</v>
      </c>
      <c r="F143" s="98"/>
      <c r="G143" s="157">
        <v>9866911</v>
      </c>
      <c r="H143" s="157">
        <v>18051540</v>
      </c>
      <c r="I143" s="157" t="s">
        <v>772</v>
      </c>
      <c r="J143" s="157">
        <v>4</v>
      </c>
      <c r="K143" s="157">
        <v>21</v>
      </c>
      <c r="L143" s="187">
        <v>-36000</v>
      </c>
      <c r="M143" s="98" t="s">
        <v>1716</v>
      </c>
      <c r="N143" s="101">
        <v>44301</v>
      </c>
      <c r="O143" s="101">
        <v>44301</v>
      </c>
      <c r="P143" s="101">
        <v>44301</v>
      </c>
      <c r="Q143" s="98" t="s">
        <v>1717</v>
      </c>
      <c r="R143" s="98" t="s">
        <v>1719</v>
      </c>
      <c r="S143" s="98"/>
      <c r="T143" s="98">
        <v>0</v>
      </c>
      <c r="U143" s="98" t="s">
        <v>1718</v>
      </c>
      <c r="V143" s="98"/>
      <c r="W143" s="98"/>
      <c r="X143" s="98" t="s">
        <v>773</v>
      </c>
      <c r="Y143" s="98"/>
      <c r="Z143" s="98" t="s">
        <v>606</v>
      </c>
      <c r="AA143" s="98" t="s">
        <v>770</v>
      </c>
      <c r="AB143" s="98" t="s">
        <v>1299</v>
      </c>
      <c r="AC143" s="98" t="s">
        <v>1304</v>
      </c>
      <c r="AD143" s="98" t="s">
        <v>779</v>
      </c>
      <c r="AE143" s="98"/>
      <c r="AF143" s="98"/>
    </row>
    <row r="144" spans="1:32" ht="12.75" customHeight="1">
      <c r="A144" s="102" t="s">
        <v>602</v>
      </c>
      <c r="B144" s="102"/>
      <c r="C144" s="102"/>
      <c r="D144" s="102"/>
      <c r="E144" s="102"/>
      <c r="F144" s="102"/>
      <c r="G144" s="160"/>
      <c r="H144" s="160"/>
      <c r="I144" s="160"/>
      <c r="J144" s="160"/>
      <c r="K144" s="160"/>
      <c r="L144" s="186">
        <v>-1299381.58</v>
      </c>
      <c r="M144" s="102"/>
      <c r="N144" s="102"/>
      <c r="O144" s="102"/>
      <c r="P144" s="102"/>
      <c r="Q144" s="102"/>
      <c r="R144" s="102"/>
      <c r="S144" s="102"/>
      <c r="T144" s="102"/>
      <c r="U144" s="102"/>
      <c r="V144" s="102"/>
      <c r="W144" s="102"/>
      <c r="X144" s="102"/>
      <c r="Y144" s="102"/>
      <c r="Z144" s="102"/>
      <c r="AA144" s="102"/>
      <c r="AB144" s="102"/>
      <c r="AC144" s="102"/>
      <c r="AD144" s="102"/>
      <c r="AE144" s="102"/>
      <c r="AF144" s="102"/>
    </row>
    <row r="146" spans="1:32" ht="12.75" customHeight="1">
      <c r="A146" s="200" t="s">
        <v>746</v>
      </c>
      <c r="B146" s="200" t="s">
        <v>604</v>
      </c>
      <c r="C146" s="200" t="s">
        <v>747</v>
      </c>
      <c r="D146" s="200" t="s">
        <v>608</v>
      </c>
      <c r="E146" s="200" t="s">
        <v>749</v>
      </c>
      <c r="F146" s="200" t="s">
        <v>921</v>
      </c>
      <c r="G146" s="261" t="s">
        <v>748</v>
      </c>
      <c r="H146" s="261" t="s">
        <v>750</v>
      </c>
      <c r="I146" s="261" t="s">
        <v>751</v>
      </c>
      <c r="J146" s="261" t="s">
        <v>752</v>
      </c>
      <c r="K146" s="261" t="s">
        <v>753</v>
      </c>
      <c r="L146" s="200" t="s">
        <v>754</v>
      </c>
      <c r="M146" s="200" t="s">
        <v>918</v>
      </c>
      <c r="N146" s="200" t="s">
        <v>2</v>
      </c>
      <c r="O146" s="200" t="s">
        <v>755</v>
      </c>
      <c r="P146" s="200" t="s">
        <v>605</v>
      </c>
      <c r="Q146" s="200" t="s">
        <v>756</v>
      </c>
      <c r="R146" s="200" t="s">
        <v>946</v>
      </c>
      <c r="S146" s="200" t="s">
        <v>761</v>
      </c>
      <c r="T146" s="200" t="s">
        <v>760</v>
      </c>
      <c r="U146" s="200" t="s">
        <v>1361</v>
      </c>
      <c r="V146" s="200" t="s">
        <v>757</v>
      </c>
      <c r="W146" s="200" t="s">
        <v>758</v>
      </c>
      <c r="X146" s="200" t="s">
        <v>759</v>
      </c>
      <c r="Y146" s="200" t="s">
        <v>762</v>
      </c>
      <c r="Z146" s="200" t="s">
        <v>763</v>
      </c>
      <c r="AA146" s="200" t="s">
        <v>764</v>
      </c>
      <c r="AB146" s="200" t="s">
        <v>765</v>
      </c>
      <c r="AC146" s="200" t="s">
        <v>766</v>
      </c>
      <c r="AD146" s="200" t="s">
        <v>767</v>
      </c>
      <c r="AE146" s="200" t="s">
        <v>919</v>
      </c>
      <c r="AF146" s="200" t="s">
        <v>920</v>
      </c>
    </row>
    <row r="147" spans="1:32">
      <c r="A147" s="201" t="s">
        <v>703</v>
      </c>
      <c r="B147" s="201" t="s">
        <v>53</v>
      </c>
      <c r="C147" s="201" t="s">
        <v>922</v>
      </c>
      <c r="D147" s="201"/>
      <c r="E147" s="201" t="s">
        <v>49</v>
      </c>
      <c r="F147" s="201"/>
      <c r="G147" s="262">
        <v>9878497</v>
      </c>
      <c r="H147" s="262">
        <v>18134430</v>
      </c>
      <c r="I147" s="262" t="s">
        <v>772</v>
      </c>
      <c r="J147" s="262">
        <v>5</v>
      </c>
      <c r="K147" s="262">
        <v>21</v>
      </c>
      <c r="L147" s="202">
        <v>-90000</v>
      </c>
      <c r="M147" s="203">
        <v>44347</v>
      </c>
      <c r="N147" s="203">
        <v>44347</v>
      </c>
      <c r="O147" s="203">
        <v>44323</v>
      </c>
      <c r="P147" s="201" t="s">
        <v>1733</v>
      </c>
      <c r="Q147" s="201" t="s">
        <v>1733</v>
      </c>
      <c r="R147" s="201"/>
      <c r="S147" s="201">
        <v>0</v>
      </c>
      <c r="T147" s="201" t="s">
        <v>1734</v>
      </c>
      <c r="U147" s="201"/>
      <c r="V147" s="201"/>
      <c r="W147" s="201"/>
      <c r="X147" s="201"/>
      <c r="Y147" s="201" t="s">
        <v>606</v>
      </c>
      <c r="Z147" s="201" t="s">
        <v>1072</v>
      </c>
      <c r="AA147" s="201" t="s">
        <v>1280</v>
      </c>
      <c r="AB147" s="201" t="s">
        <v>1280</v>
      </c>
      <c r="AC147" s="201" t="s">
        <v>912</v>
      </c>
      <c r="AD147" s="201" t="s">
        <v>1735</v>
      </c>
      <c r="AE147" s="201"/>
      <c r="AF147" s="201"/>
    </row>
    <row r="148" spans="1:32">
      <c r="A148" s="201" t="s">
        <v>703</v>
      </c>
      <c r="B148" s="201" t="s">
        <v>56</v>
      </c>
      <c r="C148" s="201" t="s">
        <v>922</v>
      </c>
      <c r="D148" s="201"/>
      <c r="E148" s="201" t="s">
        <v>768</v>
      </c>
      <c r="F148" s="201"/>
      <c r="G148" s="262">
        <v>9881379</v>
      </c>
      <c r="H148" s="262">
        <v>1393472</v>
      </c>
      <c r="I148" s="262" t="s">
        <v>769</v>
      </c>
      <c r="J148" s="262">
        <v>5</v>
      </c>
      <c r="K148" s="262">
        <v>21</v>
      </c>
      <c r="L148" s="202">
        <v>131750</v>
      </c>
      <c r="M148" s="203">
        <v>44319</v>
      </c>
      <c r="N148" s="203">
        <v>44329</v>
      </c>
      <c r="O148" s="203">
        <v>44329</v>
      </c>
      <c r="P148" s="201" t="s">
        <v>1736</v>
      </c>
      <c r="Q148" s="201" t="s">
        <v>839</v>
      </c>
      <c r="R148" s="201" t="s">
        <v>1737</v>
      </c>
      <c r="S148" s="201" t="s">
        <v>1738</v>
      </c>
      <c r="T148" s="201" t="s">
        <v>1739</v>
      </c>
      <c r="U148" s="201"/>
      <c r="V148" s="201"/>
      <c r="W148" s="201"/>
      <c r="X148" s="201"/>
      <c r="Y148" s="201" t="s">
        <v>606</v>
      </c>
      <c r="Z148" s="201" t="s">
        <v>770</v>
      </c>
      <c r="AA148" s="201" t="s">
        <v>1236</v>
      </c>
      <c r="AB148" s="201" t="s">
        <v>778</v>
      </c>
      <c r="AC148" s="201" t="s">
        <v>787</v>
      </c>
      <c r="AD148" s="201"/>
      <c r="AE148" s="201"/>
      <c r="AF148" s="201"/>
    </row>
    <row r="149" spans="1:32">
      <c r="A149" s="201" t="s">
        <v>846</v>
      </c>
      <c r="B149" s="201" t="s">
        <v>47</v>
      </c>
      <c r="C149" s="201" t="s">
        <v>922</v>
      </c>
      <c r="D149" s="201"/>
      <c r="E149" s="201" t="s">
        <v>768</v>
      </c>
      <c r="F149" s="201"/>
      <c r="G149" s="262">
        <v>9878511</v>
      </c>
      <c r="H149" s="262">
        <v>1392455</v>
      </c>
      <c r="I149" s="262" t="s">
        <v>769</v>
      </c>
      <c r="J149" s="262">
        <v>5</v>
      </c>
      <c r="K149" s="262">
        <v>21</v>
      </c>
      <c r="L149" s="202">
        <v>75000</v>
      </c>
      <c r="M149" s="203">
        <v>44322</v>
      </c>
      <c r="N149" s="203">
        <v>44323</v>
      </c>
      <c r="O149" s="203">
        <v>44323</v>
      </c>
      <c r="P149" s="201" t="s">
        <v>1740</v>
      </c>
      <c r="Q149" s="201" t="s">
        <v>1741</v>
      </c>
      <c r="R149" s="201" t="s">
        <v>1742</v>
      </c>
      <c r="S149" s="201" t="s">
        <v>1743</v>
      </c>
      <c r="T149" s="201" t="s">
        <v>1376</v>
      </c>
      <c r="U149" s="201"/>
      <c r="V149" s="201"/>
      <c r="W149" s="201"/>
      <c r="X149" s="201"/>
      <c r="Y149" s="201" t="s">
        <v>606</v>
      </c>
      <c r="Z149" s="201" t="s">
        <v>770</v>
      </c>
      <c r="AA149" s="201" t="s">
        <v>1236</v>
      </c>
      <c r="AB149" s="201" t="s">
        <v>778</v>
      </c>
      <c r="AC149" s="201" t="s">
        <v>789</v>
      </c>
      <c r="AD149" s="201" t="s">
        <v>1377</v>
      </c>
      <c r="AE149" s="201"/>
      <c r="AF149" s="201"/>
    </row>
    <row r="150" spans="1:32">
      <c r="A150" s="201" t="s">
        <v>846</v>
      </c>
      <c r="B150" s="201" t="s">
        <v>72</v>
      </c>
      <c r="C150" s="201" t="s">
        <v>922</v>
      </c>
      <c r="D150" s="201"/>
      <c r="E150" s="201" t="s">
        <v>49</v>
      </c>
      <c r="F150" s="201"/>
      <c r="G150" s="262">
        <v>9881674</v>
      </c>
      <c r="H150" s="262">
        <v>18190658</v>
      </c>
      <c r="I150" s="262" t="s">
        <v>772</v>
      </c>
      <c r="J150" s="262">
        <v>5</v>
      </c>
      <c r="K150" s="262">
        <v>21</v>
      </c>
      <c r="L150" s="202">
        <v>-20000</v>
      </c>
      <c r="M150" s="203">
        <v>44317</v>
      </c>
      <c r="N150" s="203">
        <v>44317</v>
      </c>
      <c r="O150" s="203">
        <v>44329</v>
      </c>
      <c r="P150" s="201" t="s">
        <v>1744</v>
      </c>
      <c r="Q150" s="201" t="s">
        <v>1744</v>
      </c>
      <c r="R150" s="201"/>
      <c r="S150" s="201">
        <v>0</v>
      </c>
      <c r="T150" s="201" t="s">
        <v>1745</v>
      </c>
      <c r="U150" s="201"/>
      <c r="V150" s="201"/>
      <c r="W150" s="201" t="s">
        <v>773</v>
      </c>
      <c r="X150" s="201"/>
      <c r="Y150" s="201" t="s">
        <v>606</v>
      </c>
      <c r="Z150" s="201" t="s">
        <v>1072</v>
      </c>
      <c r="AA150" s="201" t="s">
        <v>1252</v>
      </c>
      <c r="AB150" s="201" t="s">
        <v>1252</v>
      </c>
      <c r="AC150" s="201" t="s">
        <v>786</v>
      </c>
      <c r="AD150" s="201" t="s">
        <v>1746</v>
      </c>
      <c r="AE150" s="201"/>
      <c r="AF150" s="201"/>
    </row>
    <row r="151" spans="1:32">
      <c r="A151" s="201" t="s">
        <v>846</v>
      </c>
      <c r="B151" s="201" t="s">
        <v>1154</v>
      </c>
      <c r="C151" s="201" t="s">
        <v>922</v>
      </c>
      <c r="D151" s="201"/>
      <c r="E151" s="201" t="s">
        <v>768</v>
      </c>
      <c r="F151" s="201"/>
      <c r="G151" s="262">
        <v>9877935</v>
      </c>
      <c r="H151" s="262">
        <v>1392274</v>
      </c>
      <c r="I151" s="262" t="s">
        <v>769</v>
      </c>
      <c r="J151" s="262">
        <v>5</v>
      </c>
      <c r="K151" s="262">
        <v>21</v>
      </c>
      <c r="L151" s="202">
        <v>134700</v>
      </c>
      <c r="M151" s="203">
        <v>44311</v>
      </c>
      <c r="N151" s="203">
        <v>44322</v>
      </c>
      <c r="O151" s="203">
        <v>44322</v>
      </c>
      <c r="P151" s="201" t="s">
        <v>1747</v>
      </c>
      <c r="Q151" s="201" t="s">
        <v>667</v>
      </c>
      <c r="R151" s="201" t="s">
        <v>1748</v>
      </c>
      <c r="S151" s="201" t="s">
        <v>1418</v>
      </c>
      <c r="T151" s="201" t="s">
        <v>1419</v>
      </c>
      <c r="U151" s="201"/>
      <c r="V151" s="201"/>
      <c r="W151" s="201"/>
      <c r="X151" s="201"/>
      <c r="Y151" s="201" t="s">
        <v>606</v>
      </c>
      <c r="Z151" s="201" t="s">
        <v>770</v>
      </c>
      <c r="AA151" s="201" t="s">
        <v>1236</v>
      </c>
      <c r="AB151" s="201" t="s">
        <v>778</v>
      </c>
      <c r="AC151" s="201" t="s">
        <v>1155</v>
      </c>
      <c r="AD151" s="201" t="s">
        <v>1331</v>
      </c>
      <c r="AE151" s="201"/>
      <c r="AF151" s="201"/>
    </row>
    <row r="152" spans="1:32">
      <c r="A152" s="201" t="s">
        <v>892</v>
      </c>
      <c r="B152" s="201" t="s">
        <v>1001</v>
      </c>
      <c r="C152" s="201" t="s">
        <v>922</v>
      </c>
      <c r="D152" s="201"/>
      <c r="E152" s="201" t="s">
        <v>768</v>
      </c>
      <c r="F152" s="201"/>
      <c r="G152" s="262">
        <v>9875170</v>
      </c>
      <c r="H152" s="262">
        <v>1391511</v>
      </c>
      <c r="I152" s="262" t="s">
        <v>769</v>
      </c>
      <c r="J152" s="262">
        <v>5</v>
      </c>
      <c r="K152" s="262">
        <v>21</v>
      </c>
      <c r="L152" s="202">
        <v>411485</v>
      </c>
      <c r="M152" s="203">
        <v>43910</v>
      </c>
      <c r="N152" s="203">
        <v>44319</v>
      </c>
      <c r="O152" s="203">
        <v>44319</v>
      </c>
      <c r="P152" s="201" t="s">
        <v>1507</v>
      </c>
      <c r="Q152" s="201" t="s">
        <v>655</v>
      </c>
      <c r="R152" s="201" t="s">
        <v>1749</v>
      </c>
      <c r="S152" s="201" t="s">
        <v>1412</v>
      </c>
      <c r="T152" s="201" t="s">
        <v>1509</v>
      </c>
      <c r="U152" s="201"/>
      <c r="V152" s="201"/>
      <c r="W152" s="201"/>
      <c r="X152" s="201"/>
      <c r="Y152" s="201" t="s">
        <v>606</v>
      </c>
      <c r="Z152" s="201" t="s">
        <v>770</v>
      </c>
      <c r="AA152" s="201" t="s">
        <v>1236</v>
      </c>
      <c r="AB152" s="201" t="s">
        <v>778</v>
      </c>
      <c r="AC152" s="201" t="s">
        <v>1002</v>
      </c>
      <c r="AD152" s="201" t="s">
        <v>1138</v>
      </c>
      <c r="AE152" s="201"/>
      <c r="AF152" s="201"/>
    </row>
    <row r="153" spans="1:32">
      <c r="A153" s="201" t="s">
        <v>892</v>
      </c>
      <c r="B153" s="201" t="s">
        <v>52</v>
      </c>
      <c r="C153" s="201" t="s">
        <v>922</v>
      </c>
      <c r="D153" s="201"/>
      <c r="E153" s="201" t="s">
        <v>768</v>
      </c>
      <c r="F153" s="201"/>
      <c r="G153" s="262">
        <v>9881614</v>
      </c>
      <c r="H153" s="262">
        <v>1393526</v>
      </c>
      <c r="I153" s="262" t="s">
        <v>769</v>
      </c>
      <c r="J153" s="262">
        <v>5</v>
      </c>
      <c r="K153" s="262">
        <v>21</v>
      </c>
      <c r="L153" s="202">
        <v>204700</v>
      </c>
      <c r="M153" s="203">
        <v>44329</v>
      </c>
      <c r="N153" s="203">
        <v>44329</v>
      </c>
      <c r="O153" s="203">
        <v>44329</v>
      </c>
      <c r="P153" s="201" t="s">
        <v>1750</v>
      </c>
      <c r="Q153" s="201" t="s">
        <v>73</v>
      </c>
      <c r="R153" s="201" t="s">
        <v>1751</v>
      </c>
      <c r="S153" s="201" t="s">
        <v>73</v>
      </c>
      <c r="T153" s="201" t="s">
        <v>1752</v>
      </c>
      <c r="U153" s="201"/>
      <c r="V153" s="201"/>
      <c r="W153" s="201"/>
      <c r="X153" s="201"/>
      <c r="Y153" s="201" t="s">
        <v>606</v>
      </c>
      <c r="Z153" s="201" t="s">
        <v>770</v>
      </c>
      <c r="AA153" s="201" t="s">
        <v>1236</v>
      </c>
      <c r="AB153" s="201" t="s">
        <v>778</v>
      </c>
      <c r="AC153" s="201" t="s">
        <v>782</v>
      </c>
      <c r="AD153" s="201" t="s">
        <v>1753</v>
      </c>
      <c r="AE153" s="201"/>
      <c r="AF153" s="201"/>
    </row>
    <row r="154" spans="1:32">
      <c r="A154" s="201" t="s">
        <v>892</v>
      </c>
      <c r="B154" s="201" t="s">
        <v>1023</v>
      </c>
      <c r="C154" s="201" t="s">
        <v>922</v>
      </c>
      <c r="D154" s="201"/>
      <c r="E154" s="201" t="s">
        <v>768</v>
      </c>
      <c r="F154" s="201"/>
      <c r="G154" s="262">
        <v>9875109</v>
      </c>
      <c r="H154" s="262">
        <v>1391452</v>
      </c>
      <c r="I154" s="262" t="s">
        <v>769</v>
      </c>
      <c r="J154" s="262">
        <v>5</v>
      </c>
      <c r="K154" s="262">
        <v>21</v>
      </c>
      <c r="L154" s="202">
        <v>113795</v>
      </c>
      <c r="M154" s="203">
        <v>44251</v>
      </c>
      <c r="N154" s="203">
        <v>44319</v>
      </c>
      <c r="O154" s="203">
        <v>44319</v>
      </c>
      <c r="P154" s="201" t="s">
        <v>1754</v>
      </c>
      <c r="Q154" s="201" t="s">
        <v>31</v>
      </c>
      <c r="R154" s="201" t="s">
        <v>1755</v>
      </c>
      <c r="S154" s="201" t="s">
        <v>1552</v>
      </c>
      <c r="T154" s="201" t="s">
        <v>1671</v>
      </c>
      <c r="U154" s="201"/>
      <c r="V154" s="201"/>
      <c r="W154" s="201"/>
      <c r="X154" s="201"/>
      <c r="Y154" s="201" t="s">
        <v>606</v>
      </c>
      <c r="Z154" s="201" t="s">
        <v>770</v>
      </c>
      <c r="AA154" s="201" t="s">
        <v>1236</v>
      </c>
      <c r="AB154" s="201" t="s">
        <v>778</v>
      </c>
      <c r="AC154" s="201" t="s">
        <v>1024</v>
      </c>
      <c r="AD154" s="201" t="s">
        <v>1669</v>
      </c>
      <c r="AE154" s="201"/>
      <c r="AF154" s="201"/>
    </row>
    <row r="155" spans="1:32">
      <c r="A155" s="201" t="s">
        <v>892</v>
      </c>
      <c r="B155" s="201" t="s">
        <v>62</v>
      </c>
      <c r="C155" s="201" t="s">
        <v>922</v>
      </c>
      <c r="D155" s="201"/>
      <c r="E155" s="201" t="s">
        <v>768</v>
      </c>
      <c r="F155" s="201"/>
      <c r="G155" s="262">
        <v>9876604</v>
      </c>
      <c r="H155" s="262">
        <v>1391948</v>
      </c>
      <c r="I155" s="262" t="s">
        <v>769</v>
      </c>
      <c r="J155" s="262">
        <v>5</v>
      </c>
      <c r="K155" s="262">
        <v>21</v>
      </c>
      <c r="L155" s="202">
        <v>50000</v>
      </c>
      <c r="M155" s="203">
        <v>44318</v>
      </c>
      <c r="N155" s="203">
        <v>44320</v>
      </c>
      <c r="O155" s="203">
        <v>44320</v>
      </c>
      <c r="P155" s="201" t="s">
        <v>1756</v>
      </c>
      <c r="Q155" s="201" t="s">
        <v>1358</v>
      </c>
      <c r="R155" s="201" t="s">
        <v>1757</v>
      </c>
      <c r="S155" s="201" t="s">
        <v>1664</v>
      </c>
      <c r="T155" s="201" t="s">
        <v>1758</v>
      </c>
      <c r="U155" s="201"/>
      <c r="V155" s="201"/>
      <c r="W155" s="201"/>
      <c r="X155" s="201"/>
      <c r="Y155" s="201" t="s">
        <v>606</v>
      </c>
      <c r="Z155" s="201" t="s">
        <v>770</v>
      </c>
      <c r="AA155" s="201" t="s">
        <v>1236</v>
      </c>
      <c r="AB155" s="201" t="s">
        <v>778</v>
      </c>
      <c r="AC155" s="201" t="s">
        <v>914</v>
      </c>
      <c r="AD155" s="201" t="s">
        <v>1759</v>
      </c>
      <c r="AE155" s="201"/>
      <c r="AF155" s="201"/>
    </row>
    <row r="156" spans="1:32">
      <c r="A156" s="201" t="s">
        <v>620</v>
      </c>
      <c r="B156" s="201" t="s">
        <v>71</v>
      </c>
      <c r="C156" s="201" t="s">
        <v>922</v>
      </c>
      <c r="D156" s="201"/>
      <c r="E156" s="201" t="s">
        <v>768</v>
      </c>
      <c r="F156" s="201"/>
      <c r="G156" s="262">
        <v>9875251</v>
      </c>
      <c r="H156" s="262">
        <v>1391590</v>
      </c>
      <c r="I156" s="262" t="s">
        <v>769</v>
      </c>
      <c r="J156" s="262">
        <v>5</v>
      </c>
      <c r="K156" s="262">
        <v>21</v>
      </c>
      <c r="L156" s="202">
        <v>31050</v>
      </c>
      <c r="M156" s="203">
        <v>44311</v>
      </c>
      <c r="N156" s="203">
        <v>44319</v>
      </c>
      <c r="O156" s="203">
        <v>44319</v>
      </c>
      <c r="P156" s="201" t="s">
        <v>1760</v>
      </c>
      <c r="Q156" s="201" t="s">
        <v>1201</v>
      </c>
      <c r="R156" s="201" t="s">
        <v>1761</v>
      </c>
      <c r="S156" s="201" t="s">
        <v>1683</v>
      </c>
      <c r="T156" s="201" t="s">
        <v>1762</v>
      </c>
      <c r="U156" s="201"/>
      <c r="V156" s="201"/>
      <c r="W156" s="201"/>
      <c r="X156" s="201"/>
      <c r="Y156" s="201" t="s">
        <v>606</v>
      </c>
      <c r="Z156" s="201" t="s">
        <v>770</v>
      </c>
      <c r="AA156" s="201" t="s">
        <v>1236</v>
      </c>
      <c r="AB156" s="201" t="s">
        <v>778</v>
      </c>
      <c r="AC156" s="201" t="s">
        <v>910</v>
      </c>
      <c r="AD156" s="201" t="s">
        <v>1192</v>
      </c>
      <c r="AE156" s="201"/>
      <c r="AF156" s="201"/>
    </row>
    <row r="157" spans="1:32">
      <c r="A157" s="201" t="s">
        <v>620</v>
      </c>
      <c r="B157" s="201" t="s">
        <v>57</v>
      </c>
      <c r="C157" s="201" t="s">
        <v>922</v>
      </c>
      <c r="D157" s="201"/>
      <c r="E157" s="201" t="s">
        <v>768</v>
      </c>
      <c r="F157" s="201"/>
      <c r="G157" s="262">
        <v>9881309</v>
      </c>
      <c r="H157" s="262">
        <v>1393403</v>
      </c>
      <c r="I157" s="262" t="s">
        <v>769</v>
      </c>
      <c r="J157" s="262">
        <v>5</v>
      </c>
      <c r="K157" s="262">
        <v>21</v>
      </c>
      <c r="L157" s="202">
        <v>50000</v>
      </c>
      <c r="M157" s="203">
        <v>44224</v>
      </c>
      <c r="N157" s="203">
        <v>44329</v>
      </c>
      <c r="O157" s="203">
        <v>44329</v>
      </c>
      <c r="P157" s="201" t="s">
        <v>1763</v>
      </c>
      <c r="Q157" s="201" t="s">
        <v>816</v>
      </c>
      <c r="R157" s="201" t="s">
        <v>1764</v>
      </c>
      <c r="S157" s="201" t="s">
        <v>1401</v>
      </c>
      <c r="T157" s="201" t="s">
        <v>1402</v>
      </c>
      <c r="U157" s="201"/>
      <c r="V157" s="201"/>
      <c r="W157" s="201"/>
      <c r="X157" s="201"/>
      <c r="Y157" s="201" t="s">
        <v>606</v>
      </c>
      <c r="Z157" s="201" t="s">
        <v>770</v>
      </c>
      <c r="AA157" s="201" t="s">
        <v>1236</v>
      </c>
      <c r="AB157" s="201" t="s">
        <v>778</v>
      </c>
      <c r="AC157" s="201" t="s">
        <v>932</v>
      </c>
      <c r="AD157" s="201" t="s">
        <v>1403</v>
      </c>
      <c r="AE157" s="201"/>
      <c r="AF157" s="201"/>
    </row>
    <row r="158" spans="1:32">
      <c r="A158" s="201" t="s">
        <v>620</v>
      </c>
      <c r="B158" s="201" t="s">
        <v>57</v>
      </c>
      <c r="C158" s="201" t="s">
        <v>922</v>
      </c>
      <c r="D158" s="201"/>
      <c r="E158" s="201" t="s">
        <v>768</v>
      </c>
      <c r="F158" s="201"/>
      <c r="G158" s="262">
        <v>9881869</v>
      </c>
      <c r="H158" s="262">
        <v>1393640</v>
      </c>
      <c r="I158" s="262" t="s">
        <v>769</v>
      </c>
      <c r="J158" s="262">
        <v>5</v>
      </c>
      <c r="K158" s="262">
        <v>21</v>
      </c>
      <c r="L158" s="202">
        <v>-7594.24</v>
      </c>
      <c r="M158" s="203">
        <v>44323</v>
      </c>
      <c r="N158" s="203">
        <v>44329</v>
      </c>
      <c r="O158" s="203">
        <v>44329</v>
      </c>
      <c r="P158" s="201" t="s">
        <v>926</v>
      </c>
      <c r="Q158" s="201" t="s">
        <v>1765</v>
      </c>
      <c r="R158" s="201" t="s">
        <v>1766</v>
      </c>
      <c r="S158" s="201" t="s">
        <v>791</v>
      </c>
      <c r="T158" s="201" t="s">
        <v>1697</v>
      </c>
      <c r="U158" s="201"/>
      <c r="V158" s="201"/>
      <c r="W158" s="201"/>
      <c r="X158" s="201"/>
      <c r="Y158" s="201" t="s">
        <v>606</v>
      </c>
      <c r="Z158" s="201" t="s">
        <v>770</v>
      </c>
      <c r="AA158" s="201" t="s">
        <v>1236</v>
      </c>
      <c r="AB158" s="201" t="s">
        <v>778</v>
      </c>
      <c r="AC158" s="201" t="s">
        <v>932</v>
      </c>
      <c r="AD158" s="201" t="s">
        <v>1695</v>
      </c>
      <c r="AE158" s="201"/>
      <c r="AF158" s="201"/>
    </row>
    <row r="159" spans="1:32">
      <c r="A159" s="201" t="s">
        <v>620</v>
      </c>
      <c r="B159" s="201" t="s">
        <v>57</v>
      </c>
      <c r="C159" s="201" t="s">
        <v>922</v>
      </c>
      <c r="D159" s="201"/>
      <c r="E159" s="201" t="s">
        <v>768</v>
      </c>
      <c r="F159" s="201"/>
      <c r="G159" s="262">
        <v>9881869</v>
      </c>
      <c r="H159" s="262">
        <v>1393640</v>
      </c>
      <c r="I159" s="262" t="s">
        <v>769</v>
      </c>
      <c r="J159" s="262">
        <v>5</v>
      </c>
      <c r="K159" s="262">
        <v>21</v>
      </c>
      <c r="L159" s="202">
        <v>135000</v>
      </c>
      <c r="M159" s="203">
        <v>44323</v>
      </c>
      <c r="N159" s="203">
        <v>44329</v>
      </c>
      <c r="O159" s="203">
        <v>44329</v>
      </c>
      <c r="P159" s="201" t="s">
        <v>1767</v>
      </c>
      <c r="Q159" s="201" t="s">
        <v>1765</v>
      </c>
      <c r="R159" s="201" t="s">
        <v>1766</v>
      </c>
      <c r="S159" s="201" t="s">
        <v>791</v>
      </c>
      <c r="T159" s="201" t="s">
        <v>1697</v>
      </c>
      <c r="U159" s="201"/>
      <c r="V159" s="201"/>
      <c r="W159" s="201"/>
      <c r="X159" s="201"/>
      <c r="Y159" s="201" t="s">
        <v>606</v>
      </c>
      <c r="Z159" s="201" t="s">
        <v>770</v>
      </c>
      <c r="AA159" s="201" t="s">
        <v>1236</v>
      </c>
      <c r="AB159" s="201" t="s">
        <v>778</v>
      </c>
      <c r="AC159" s="201" t="s">
        <v>932</v>
      </c>
      <c r="AD159" s="201" t="s">
        <v>1695</v>
      </c>
      <c r="AE159" s="201"/>
      <c r="AF159" s="201"/>
    </row>
    <row r="160" spans="1:32">
      <c r="A160" s="201" t="s">
        <v>620</v>
      </c>
      <c r="B160" s="201" t="s">
        <v>57</v>
      </c>
      <c r="C160" s="201" t="s">
        <v>922</v>
      </c>
      <c r="D160" s="201"/>
      <c r="E160" s="201" t="s">
        <v>49</v>
      </c>
      <c r="F160" s="201"/>
      <c r="G160" s="262">
        <v>9878500</v>
      </c>
      <c r="H160" s="262">
        <v>18134431</v>
      </c>
      <c r="I160" s="262" t="s">
        <v>772</v>
      </c>
      <c r="J160" s="262">
        <v>5</v>
      </c>
      <c r="K160" s="262">
        <v>21</v>
      </c>
      <c r="L160" s="202">
        <v>-20000</v>
      </c>
      <c r="M160" s="203">
        <v>44347</v>
      </c>
      <c r="N160" s="203">
        <v>44347</v>
      </c>
      <c r="O160" s="203">
        <v>44323</v>
      </c>
      <c r="P160" s="201" t="s">
        <v>1768</v>
      </c>
      <c r="Q160" s="201" t="s">
        <v>1768</v>
      </c>
      <c r="R160" s="201"/>
      <c r="S160" s="201">
        <v>0</v>
      </c>
      <c r="T160" s="201" t="s">
        <v>1769</v>
      </c>
      <c r="U160" s="201"/>
      <c r="V160" s="201"/>
      <c r="W160" s="201" t="s">
        <v>1251</v>
      </c>
      <c r="X160" s="201"/>
      <c r="Y160" s="201" t="s">
        <v>606</v>
      </c>
      <c r="Z160" s="201" t="s">
        <v>770</v>
      </c>
      <c r="AA160" s="201" t="s">
        <v>1294</v>
      </c>
      <c r="AB160" s="201" t="s">
        <v>778</v>
      </c>
      <c r="AC160" s="201" t="s">
        <v>932</v>
      </c>
      <c r="AD160" s="201" t="s">
        <v>1770</v>
      </c>
      <c r="AE160" s="201"/>
      <c r="AF160" s="201"/>
    </row>
    <row r="161" spans="1:32">
      <c r="A161" s="201" t="s">
        <v>620</v>
      </c>
      <c r="B161" s="201" t="s">
        <v>57</v>
      </c>
      <c r="C161" s="201" t="s">
        <v>922</v>
      </c>
      <c r="D161" s="201"/>
      <c r="E161" s="201" t="s">
        <v>49</v>
      </c>
      <c r="F161" s="201"/>
      <c r="G161" s="262">
        <v>9881886</v>
      </c>
      <c r="H161" s="262">
        <v>18190739</v>
      </c>
      <c r="I161" s="262" t="s">
        <v>772</v>
      </c>
      <c r="J161" s="262">
        <v>5</v>
      </c>
      <c r="K161" s="262">
        <v>21</v>
      </c>
      <c r="L161" s="202">
        <v>-9780.5</v>
      </c>
      <c r="M161" s="203">
        <v>44347</v>
      </c>
      <c r="N161" s="203">
        <v>44347</v>
      </c>
      <c r="O161" s="203">
        <v>44329</v>
      </c>
      <c r="P161" s="201" t="s">
        <v>1404</v>
      </c>
      <c r="Q161" s="201" t="s">
        <v>1771</v>
      </c>
      <c r="R161" s="201"/>
      <c r="S161" s="201">
        <v>0</v>
      </c>
      <c r="T161" s="201" t="s">
        <v>1402</v>
      </c>
      <c r="U161" s="201"/>
      <c r="V161" s="201"/>
      <c r="W161" s="201" t="s">
        <v>1251</v>
      </c>
      <c r="X161" s="201"/>
      <c r="Y161" s="201" t="s">
        <v>606</v>
      </c>
      <c r="Z161" s="201" t="s">
        <v>770</v>
      </c>
      <c r="AA161" s="201" t="s">
        <v>1772</v>
      </c>
      <c r="AB161" s="201" t="s">
        <v>778</v>
      </c>
      <c r="AC161" s="201" t="s">
        <v>932</v>
      </c>
      <c r="AD161" s="201" t="s">
        <v>1403</v>
      </c>
      <c r="AE161" s="201"/>
      <c r="AF161" s="201"/>
    </row>
    <row r="162" spans="1:32">
      <c r="A162" s="201" t="s">
        <v>620</v>
      </c>
      <c r="B162" s="201" t="s">
        <v>57</v>
      </c>
      <c r="C162" s="201" t="s">
        <v>922</v>
      </c>
      <c r="D162" s="201"/>
      <c r="E162" s="201" t="s">
        <v>49</v>
      </c>
      <c r="F162" s="201"/>
      <c r="G162" s="262">
        <v>9881972</v>
      </c>
      <c r="H162" s="262">
        <v>18190740</v>
      </c>
      <c r="I162" s="262" t="s">
        <v>772</v>
      </c>
      <c r="J162" s="262">
        <v>5</v>
      </c>
      <c r="K162" s="262">
        <v>21</v>
      </c>
      <c r="L162" s="202">
        <v>-145000</v>
      </c>
      <c r="M162" s="203">
        <v>44347</v>
      </c>
      <c r="N162" s="203">
        <v>44347</v>
      </c>
      <c r="O162" s="203">
        <v>44329</v>
      </c>
      <c r="P162" s="201" t="s">
        <v>1773</v>
      </c>
      <c r="Q162" s="201" t="s">
        <v>1774</v>
      </c>
      <c r="R162" s="201"/>
      <c r="S162" s="201">
        <v>0</v>
      </c>
      <c r="T162" s="201" t="s">
        <v>1775</v>
      </c>
      <c r="U162" s="201"/>
      <c r="V162" s="201"/>
      <c r="W162" s="201" t="s">
        <v>1251</v>
      </c>
      <c r="X162" s="201"/>
      <c r="Y162" s="201" t="s">
        <v>606</v>
      </c>
      <c r="Z162" s="201" t="s">
        <v>770</v>
      </c>
      <c r="AA162" s="201" t="s">
        <v>1772</v>
      </c>
      <c r="AB162" s="201" t="s">
        <v>778</v>
      </c>
      <c r="AC162" s="201" t="s">
        <v>932</v>
      </c>
      <c r="AD162" s="201" t="s">
        <v>1776</v>
      </c>
      <c r="AE162" s="201"/>
      <c r="AF162" s="201"/>
    </row>
    <row r="163" spans="1:32">
      <c r="A163" s="201" t="s">
        <v>620</v>
      </c>
      <c r="B163" s="201" t="s">
        <v>59</v>
      </c>
      <c r="C163" s="201" t="s">
        <v>922</v>
      </c>
      <c r="D163" s="201"/>
      <c r="E163" s="201" t="s">
        <v>775</v>
      </c>
      <c r="F163" s="201"/>
      <c r="G163" s="262">
        <v>9876713</v>
      </c>
      <c r="H163" s="262">
        <v>3828363</v>
      </c>
      <c r="I163" s="262" t="s">
        <v>776</v>
      </c>
      <c r="J163" s="262">
        <v>5</v>
      </c>
      <c r="K163" s="262">
        <v>21</v>
      </c>
      <c r="L163" s="202">
        <v>30356.1</v>
      </c>
      <c r="M163" s="203">
        <v>44347</v>
      </c>
      <c r="N163" s="203">
        <v>44321</v>
      </c>
      <c r="O163" s="203">
        <v>44321</v>
      </c>
      <c r="P163" s="201" t="s">
        <v>777</v>
      </c>
      <c r="Q163" s="201" t="s">
        <v>1316</v>
      </c>
      <c r="R163" s="201"/>
      <c r="S163" s="201" t="s">
        <v>1700</v>
      </c>
      <c r="T163" s="201" t="s">
        <v>1701</v>
      </c>
      <c r="U163" s="201"/>
      <c r="V163" s="201"/>
      <c r="W163" s="201"/>
      <c r="X163" s="201"/>
      <c r="Y163" s="201" t="s">
        <v>606</v>
      </c>
      <c r="Z163" s="201" t="s">
        <v>770</v>
      </c>
      <c r="AA163" s="201" t="s">
        <v>778</v>
      </c>
      <c r="AB163" s="201" t="s">
        <v>778</v>
      </c>
      <c r="AC163" s="201" t="s">
        <v>909</v>
      </c>
      <c r="AD163" s="201"/>
      <c r="AE163" s="201"/>
      <c r="AF163" s="201"/>
    </row>
    <row r="164" spans="1:32">
      <c r="A164" s="204" t="s">
        <v>620</v>
      </c>
      <c r="B164" s="204" t="s">
        <v>55</v>
      </c>
      <c r="C164" s="204" t="s">
        <v>922</v>
      </c>
      <c r="D164" s="204"/>
      <c r="E164" s="204" t="s">
        <v>49</v>
      </c>
      <c r="F164" s="204"/>
      <c r="G164" s="263">
        <v>9875864</v>
      </c>
      <c r="H164" s="263">
        <v>18125108</v>
      </c>
      <c r="I164" s="263" t="s">
        <v>772</v>
      </c>
      <c r="J164" s="263">
        <v>5</v>
      </c>
      <c r="K164" s="263">
        <v>21</v>
      </c>
      <c r="L164" s="205">
        <v>-508750</v>
      </c>
      <c r="M164" s="206">
        <v>44317</v>
      </c>
      <c r="N164" s="206">
        <v>44317</v>
      </c>
      <c r="O164" s="206">
        <v>44319</v>
      </c>
      <c r="P164" s="204" t="s">
        <v>1777</v>
      </c>
      <c r="Q164" s="204" t="s">
        <v>1777</v>
      </c>
      <c r="R164" s="204"/>
      <c r="S164" s="204">
        <v>0</v>
      </c>
      <c r="T164" s="204" t="s">
        <v>1778</v>
      </c>
      <c r="U164" s="204"/>
      <c r="V164" s="204"/>
      <c r="W164" s="204" t="s">
        <v>773</v>
      </c>
      <c r="X164" s="204"/>
      <c r="Y164" s="204" t="s">
        <v>606</v>
      </c>
      <c r="Z164" s="204" t="s">
        <v>770</v>
      </c>
      <c r="AA164" s="204" t="s">
        <v>1252</v>
      </c>
      <c r="AB164" s="204" t="s">
        <v>1281</v>
      </c>
      <c r="AC164" s="204" t="s">
        <v>779</v>
      </c>
      <c r="AD164" s="204" t="s">
        <v>1779</v>
      </c>
      <c r="AE164" s="204"/>
      <c r="AF164" s="204"/>
    </row>
    <row r="165" spans="1:32">
      <c r="A165" s="207" t="s">
        <v>1780</v>
      </c>
      <c r="B165" s="207"/>
      <c r="C165" s="207"/>
      <c r="D165" s="207"/>
      <c r="E165" s="207"/>
      <c r="F165" s="207"/>
      <c r="G165" s="264"/>
      <c r="H165" s="264"/>
      <c r="I165" s="264"/>
      <c r="J165" s="264"/>
      <c r="K165" s="264"/>
      <c r="L165" s="208">
        <v>566711.36</v>
      </c>
      <c r="M165" s="207"/>
      <c r="N165" s="207"/>
      <c r="O165" s="207"/>
      <c r="P165" s="207"/>
      <c r="Q165" s="207"/>
      <c r="R165" s="207"/>
      <c r="S165" s="207"/>
      <c r="T165" s="207"/>
      <c r="U165" s="207"/>
      <c r="V165" s="207"/>
      <c r="W165" s="207"/>
      <c r="X165" s="207"/>
      <c r="Y165" s="207"/>
      <c r="Z165" s="207"/>
      <c r="AA165" s="207"/>
      <c r="AB165" s="207"/>
      <c r="AC165" s="207"/>
      <c r="AD165" s="207"/>
      <c r="AE165" s="207"/>
      <c r="AF165" s="207"/>
    </row>
    <row r="167" spans="1:32" ht="31.5">
      <c r="A167" s="91" t="s">
        <v>746</v>
      </c>
      <c r="B167" s="91" t="s">
        <v>604</v>
      </c>
      <c r="C167" s="91" t="s">
        <v>747</v>
      </c>
      <c r="D167" s="91" t="s">
        <v>608</v>
      </c>
      <c r="E167" s="91" t="s">
        <v>749</v>
      </c>
      <c r="F167" s="91" t="s">
        <v>921</v>
      </c>
      <c r="G167" s="159" t="s">
        <v>748</v>
      </c>
      <c r="H167" s="159" t="s">
        <v>750</v>
      </c>
      <c r="I167" s="159" t="s">
        <v>751</v>
      </c>
      <c r="J167" s="159" t="s">
        <v>752</v>
      </c>
      <c r="K167" s="159" t="s">
        <v>753</v>
      </c>
      <c r="L167" s="91" t="s">
        <v>754</v>
      </c>
      <c r="M167" s="91" t="s">
        <v>918</v>
      </c>
      <c r="N167" s="91" t="s">
        <v>2</v>
      </c>
      <c r="O167" s="91" t="s">
        <v>755</v>
      </c>
      <c r="P167" s="91" t="s">
        <v>605</v>
      </c>
      <c r="Q167" s="91" t="s">
        <v>756</v>
      </c>
      <c r="R167" s="91" t="s">
        <v>946</v>
      </c>
      <c r="S167" s="91" t="s">
        <v>761</v>
      </c>
      <c r="T167" s="91" t="s">
        <v>760</v>
      </c>
      <c r="U167" s="91" t="s">
        <v>1361</v>
      </c>
      <c r="V167" s="91" t="s">
        <v>757</v>
      </c>
      <c r="W167" s="91" t="s">
        <v>758</v>
      </c>
      <c r="X167" s="91" t="s">
        <v>759</v>
      </c>
      <c r="Y167" s="91" t="s">
        <v>762</v>
      </c>
      <c r="Z167" s="91" t="s">
        <v>763</v>
      </c>
      <c r="AA167" s="91" t="s">
        <v>764</v>
      </c>
      <c r="AB167" s="91" t="s">
        <v>765</v>
      </c>
      <c r="AC167" s="91" t="s">
        <v>766</v>
      </c>
      <c r="AD167" s="91" t="s">
        <v>767</v>
      </c>
      <c r="AE167" s="91" t="s">
        <v>919</v>
      </c>
      <c r="AF167" s="91" t="s">
        <v>920</v>
      </c>
    </row>
    <row r="168" spans="1:32" ht="12.75" customHeight="1">
      <c r="A168" s="92" t="s">
        <v>703</v>
      </c>
      <c r="B168" s="92" t="s">
        <v>53</v>
      </c>
      <c r="C168" s="92" t="s">
        <v>922</v>
      </c>
      <c r="D168" s="92"/>
      <c r="E168" s="92" t="s">
        <v>923</v>
      </c>
      <c r="F168" s="92"/>
      <c r="G168" s="263">
        <v>9889176</v>
      </c>
      <c r="H168" s="263">
        <v>18267368</v>
      </c>
      <c r="I168" s="156" t="s">
        <v>924</v>
      </c>
      <c r="J168" s="263">
        <v>6</v>
      </c>
      <c r="K168" s="263">
        <v>21</v>
      </c>
      <c r="L168" s="96">
        <v>54800</v>
      </c>
      <c r="M168" s="100">
        <v>44377</v>
      </c>
      <c r="N168" s="100">
        <v>44377</v>
      </c>
      <c r="O168" s="100">
        <v>44348</v>
      </c>
      <c r="P168" s="92" t="s">
        <v>1889</v>
      </c>
      <c r="Q168" s="92" t="s">
        <v>1217</v>
      </c>
      <c r="R168" s="92"/>
      <c r="S168" s="92">
        <v>0</v>
      </c>
      <c r="T168" s="92" t="s">
        <v>1890</v>
      </c>
      <c r="U168" s="92"/>
      <c r="V168" s="92"/>
      <c r="W168" s="92"/>
      <c r="X168" s="92"/>
      <c r="Y168" s="92" t="s">
        <v>606</v>
      </c>
      <c r="Z168" s="92" t="s">
        <v>770</v>
      </c>
      <c r="AA168" s="92" t="s">
        <v>1041</v>
      </c>
      <c r="AB168" s="92" t="s">
        <v>1891</v>
      </c>
      <c r="AC168" s="92" t="s">
        <v>912</v>
      </c>
      <c r="AD168" s="92" t="s">
        <v>1892</v>
      </c>
      <c r="AE168" s="92"/>
      <c r="AF168" s="92"/>
    </row>
    <row r="169" spans="1:32" ht="12.75" customHeight="1">
      <c r="A169" s="92" t="s">
        <v>703</v>
      </c>
      <c r="B169" s="92" t="s">
        <v>53</v>
      </c>
      <c r="C169" s="92" t="s">
        <v>922</v>
      </c>
      <c r="D169" s="92"/>
      <c r="E169" s="92" t="s">
        <v>923</v>
      </c>
      <c r="F169" s="92"/>
      <c r="G169" s="263">
        <v>9889176</v>
      </c>
      <c r="H169" s="263">
        <v>18267373</v>
      </c>
      <c r="I169" s="156" t="s">
        <v>924</v>
      </c>
      <c r="J169" s="263">
        <v>6</v>
      </c>
      <c r="K169" s="263">
        <v>21</v>
      </c>
      <c r="L169" s="96">
        <v>70780</v>
      </c>
      <c r="M169" s="100">
        <v>44377</v>
      </c>
      <c r="N169" s="100">
        <v>44377</v>
      </c>
      <c r="O169" s="100">
        <v>44348</v>
      </c>
      <c r="P169" s="92" t="s">
        <v>1893</v>
      </c>
      <c r="Q169" s="92" t="s">
        <v>1217</v>
      </c>
      <c r="R169" s="92"/>
      <c r="S169" s="92">
        <v>0</v>
      </c>
      <c r="T169" s="92" t="s">
        <v>1894</v>
      </c>
      <c r="U169" s="92"/>
      <c r="V169" s="92"/>
      <c r="W169" s="92"/>
      <c r="X169" s="92"/>
      <c r="Y169" s="92" t="s">
        <v>606</v>
      </c>
      <c r="Z169" s="92" t="s">
        <v>770</v>
      </c>
      <c r="AA169" s="92" t="s">
        <v>1041</v>
      </c>
      <c r="AB169" s="92" t="s">
        <v>1891</v>
      </c>
      <c r="AC169" s="92" t="s">
        <v>912</v>
      </c>
      <c r="AD169" s="92" t="s">
        <v>1895</v>
      </c>
      <c r="AE169" s="92"/>
      <c r="AF169" s="92"/>
    </row>
    <row r="170" spans="1:32" ht="12.75" customHeight="1">
      <c r="A170" s="92" t="s">
        <v>703</v>
      </c>
      <c r="B170" s="92" t="s">
        <v>53</v>
      </c>
      <c r="C170" s="92" t="s">
        <v>922</v>
      </c>
      <c r="D170" s="92"/>
      <c r="E170" s="92" t="s">
        <v>49</v>
      </c>
      <c r="F170" s="92"/>
      <c r="G170" s="263">
        <v>9889108</v>
      </c>
      <c r="H170" s="263">
        <v>18267221</v>
      </c>
      <c r="I170" s="156" t="s">
        <v>772</v>
      </c>
      <c r="J170" s="263">
        <v>6</v>
      </c>
      <c r="K170" s="263">
        <v>21</v>
      </c>
      <c r="L170" s="96">
        <v>180025</v>
      </c>
      <c r="M170" s="100">
        <v>44377</v>
      </c>
      <c r="N170" s="100">
        <v>44377</v>
      </c>
      <c r="O170" s="100">
        <v>44348</v>
      </c>
      <c r="P170" s="92" t="s">
        <v>1143</v>
      </c>
      <c r="Q170" s="92" t="s">
        <v>1896</v>
      </c>
      <c r="R170" s="92"/>
      <c r="S170" s="92">
        <v>0</v>
      </c>
      <c r="T170" s="92" t="s">
        <v>1897</v>
      </c>
      <c r="U170" s="92"/>
      <c r="V170" s="92"/>
      <c r="W170" s="92" t="s">
        <v>957</v>
      </c>
      <c r="X170" s="92"/>
      <c r="Y170" s="92" t="s">
        <v>606</v>
      </c>
      <c r="Z170" s="92" t="s">
        <v>770</v>
      </c>
      <c r="AA170" s="92" t="s">
        <v>1041</v>
      </c>
      <c r="AB170" s="92" t="s">
        <v>1891</v>
      </c>
      <c r="AC170" s="92" t="s">
        <v>912</v>
      </c>
      <c r="AD170" s="92" t="s">
        <v>1133</v>
      </c>
      <c r="AE170" s="92"/>
      <c r="AF170" s="92"/>
    </row>
    <row r="171" spans="1:32" ht="12.75" customHeight="1">
      <c r="A171" s="92" t="s">
        <v>703</v>
      </c>
      <c r="B171" s="92" t="s">
        <v>56</v>
      </c>
      <c r="C171" s="92" t="s">
        <v>922</v>
      </c>
      <c r="D171" s="92"/>
      <c r="E171" s="92" t="s">
        <v>49</v>
      </c>
      <c r="F171" s="92"/>
      <c r="G171" s="263">
        <v>9886947</v>
      </c>
      <c r="H171" s="263">
        <v>18265113</v>
      </c>
      <c r="I171" s="156" t="s">
        <v>772</v>
      </c>
      <c r="J171" s="263">
        <v>6</v>
      </c>
      <c r="K171" s="263">
        <v>21</v>
      </c>
      <c r="L171" s="96">
        <v>-205000</v>
      </c>
      <c r="M171" s="100">
        <v>44377</v>
      </c>
      <c r="N171" s="100">
        <v>44377</v>
      </c>
      <c r="O171" s="100">
        <v>44340</v>
      </c>
      <c r="P171" s="92" t="s">
        <v>1789</v>
      </c>
      <c r="Q171" s="92" t="s">
        <v>1789</v>
      </c>
      <c r="R171" s="92"/>
      <c r="S171" s="92">
        <v>0</v>
      </c>
      <c r="T171" s="92" t="s">
        <v>1790</v>
      </c>
      <c r="U171" s="92"/>
      <c r="V171" s="92"/>
      <c r="W171" s="92" t="s">
        <v>773</v>
      </c>
      <c r="X171" s="92"/>
      <c r="Y171" s="92" t="s">
        <v>606</v>
      </c>
      <c r="Z171" s="92" t="s">
        <v>770</v>
      </c>
      <c r="AA171" s="92" t="s">
        <v>1041</v>
      </c>
      <c r="AB171" s="92" t="s">
        <v>778</v>
      </c>
      <c r="AC171" s="92" t="s">
        <v>787</v>
      </c>
      <c r="AD171" s="92" t="s">
        <v>1791</v>
      </c>
      <c r="AE171" s="92"/>
      <c r="AF171" s="92"/>
    </row>
    <row r="172" spans="1:32" ht="12.75" customHeight="1">
      <c r="A172" s="92" t="s">
        <v>703</v>
      </c>
      <c r="B172" s="92" t="s">
        <v>56</v>
      </c>
      <c r="C172" s="92" t="s">
        <v>922</v>
      </c>
      <c r="D172" s="92"/>
      <c r="E172" s="92" t="s">
        <v>49</v>
      </c>
      <c r="F172" s="92"/>
      <c r="G172" s="263">
        <v>9887007</v>
      </c>
      <c r="H172" s="263">
        <v>18265120</v>
      </c>
      <c r="I172" s="156" t="s">
        <v>772</v>
      </c>
      <c r="J172" s="263">
        <v>6</v>
      </c>
      <c r="K172" s="263">
        <v>21</v>
      </c>
      <c r="L172" s="96">
        <v>-75000</v>
      </c>
      <c r="M172" s="100">
        <v>44377</v>
      </c>
      <c r="N172" s="100">
        <v>44377</v>
      </c>
      <c r="O172" s="100">
        <v>44340</v>
      </c>
      <c r="P172" s="92" t="s">
        <v>1792</v>
      </c>
      <c r="Q172" s="92" t="s">
        <v>1792</v>
      </c>
      <c r="R172" s="92"/>
      <c r="S172" s="92">
        <v>0</v>
      </c>
      <c r="T172" s="92" t="s">
        <v>1793</v>
      </c>
      <c r="U172" s="92"/>
      <c r="V172" s="92"/>
      <c r="W172" s="92" t="s">
        <v>1251</v>
      </c>
      <c r="X172" s="92"/>
      <c r="Y172" s="92" t="s">
        <v>606</v>
      </c>
      <c r="Z172" s="92" t="s">
        <v>770</v>
      </c>
      <c r="AA172" s="92" t="s">
        <v>1041</v>
      </c>
      <c r="AB172" s="92" t="s">
        <v>778</v>
      </c>
      <c r="AC172" s="92" t="s">
        <v>787</v>
      </c>
      <c r="AD172" s="92" t="s">
        <v>1794</v>
      </c>
      <c r="AE172" s="92"/>
      <c r="AF172" s="92"/>
    </row>
    <row r="173" spans="1:32" ht="12.75" customHeight="1">
      <c r="A173" s="92" t="s">
        <v>703</v>
      </c>
      <c r="B173" s="92" t="s">
        <v>56</v>
      </c>
      <c r="C173" s="92" t="s">
        <v>922</v>
      </c>
      <c r="D173" s="92"/>
      <c r="E173" s="92" t="s">
        <v>49</v>
      </c>
      <c r="F173" s="92"/>
      <c r="G173" s="263">
        <v>9888321</v>
      </c>
      <c r="H173" s="263">
        <v>18266627</v>
      </c>
      <c r="I173" s="156" t="s">
        <v>772</v>
      </c>
      <c r="J173" s="263">
        <v>6</v>
      </c>
      <c r="K173" s="263">
        <v>21</v>
      </c>
      <c r="L173" s="96">
        <v>-125000</v>
      </c>
      <c r="M173" s="100">
        <v>44377</v>
      </c>
      <c r="N173" s="100">
        <v>44377</v>
      </c>
      <c r="O173" s="100">
        <v>44343</v>
      </c>
      <c r="P173" s="92" t="s">
        <v>1787</v>
      </c>
      <c r="Q173" s="92" t="s">
        <v>1787</v>
      </c>
      <c r="R173" s="92"/>
      <c r="S173" s="92">
        <v>0</v>
      </c>
      <c r="T173" s="92" t="s">
        <v>1443</v>
      </c>
      <c r="U173" s="92"/>
      <c r="V173" s="92"/>
      <c r="W173" s="92" t="s">
        <v>773</v>
      </c>
      <c r="X173" s="92"/>
      <c r="Y173" s="92" t="s">
        <v>606</v>
      </c>
      <c r="Z173" s="92" t="s">
        <v>770</v>
      </c>
      <c r="AA173" s="92" t="s">
        <v>1041</v>
      </c>
      <c r="AB173" s="92" t="s">
        <v>1253</v>
      </c>
      <c r="AC173" s="92" t="s">
        <v>787</v>
      </c>
      <c r="AD173" s="92" t="s">
        <v>1788</v>
      </c>
      <c r="AE173" s="92"/>
      <c r="AF173" s="92"/>
    </row>
    <row r="174" spans="1:32" ht="12.75" customHeight="1">
      <c r="A174" s="92" t="s">
        <v>703</v>
      </c>
      <c r="B174" s="92" t="s">
        <v>56</v>
      </c>
      <c r="C174" s="92" t="s">
        <v>922</v>
      </c>
      <c r="D174" s="92"/>
      <c r="E174" s="92" t="s">
        <v>49</v>
      </c>
      <c r="F174" s="92"/>
      <c r="G174" s="263">
        <v>9888583</v>
      </c>
      <c r="H174" s="263">
        <v>18266691</v>
      </c>
      <c r="I174" s="156" t="s">
        <v>772</v>
      </c>
      <c r="J174" s="263">
        <v>6</v>
      </c>
      <c r="K174" s="263">
        <v>21</v>
      </c>
      <c r="L174" s="96">
        <v>-263500</v>
      </c>
      <c r="M174" s="100">
        <v>44377</v>
      </c>
      <c r="N174" s="100">
        <v>44377</v>
      </c>
      <c r="O174" s="100">
        <v>44344</v>
      </c>
      <c r="P174" s="92" t="s">
        <v>1898</v>
      </c>
      <c r="Q174" s="92" t="s">
        <v>1898</v>
      </c>
      <c r="R174" s="92"/>
      <c r="S174" s="92">
        <v>0</v>
      </c>
      <c r="T174" s="92" t="s">
        <v>1739</v>
      </c>
      <c r="U174" s="92"/>
      <c r="V174" s="92"/>
      <c r="W174" s="92" t="s">
        <v>773</v>
      </c>
      <c r="X174" s="92"/>
      <c r="Y174" s="92" t="s">
        <v>606</v>
      </c>
      <c r="Z174" s="92" t="s">
        <v>770</v>
      </c>
      <c r="AA174" s="92" t="s">
        <v>1041</v>
      </c>
      <c r="AB174" s="92" t="s">
        <v>1253</v>
      </c>
      <c r="AC174" s="92" t="s">
        <v>787</v>
      </c>
      <c r="AD174" s="92" t="s">
        <v>1899</v>
      </c>
      <c r="AE174" s="92"/>
      <c r="AF174" s="92"/>
    </row>
    <row r="175" spans="1:32" ht="12.75" customHeight="1">
      <c r="A175" s="92" t="s">
        <v>703</v>
      </c>
      <c r="B175" s="92" t="s">
        <v>58</v>
      </c>
      <c r="C175" s="92" t="s">
        <v>922</v>
      </c>
      <c r="D175" s="92"/>
      <c r="E175" s="92" t="s">
        <v>768</v>
      </c>
      <c r="F175" s="92"/>
      <c r="G175" s="263">
        <v>9890727</v>
      </c>
      <c r="H175" s="263">
        <v>1394340</v>
      </c>
      <c r="I175" s="156" t="s">
        <v>769</v>
      </c>
      <c r="J175" s="263">
        <v>6</v>
      </c>
      <c r="K175" s="263">
        <v>21</v>
      </c>
      <c r="L175" s="96">
        <v>135050</v>
      </c>
      <c r="M175" s="100">
        <v>44343</v>
      </c>
      <c r="N175" s="100">
        <v>44351</v>
      </c>
      <c r="O175" s="100">
        <v>44351</v>
      </c>
      <c r="P175" s="92" t="s">
        <v>1900</v>
      </c>
      <c r="Q175" s="92" t="s">
        <v>837</v>
      </c>
      <c r="R175" s="92" t="s">
        <v>1901</v>
      </c>
      <c r="S175" s="92" t="s">
        <v>1061</v>
      </c>
      <c r="T175" s="92" t="s">
        <v>1902</v>
      </c>
      <c r="U175" s="92"/>
      <c r="V175" s="92"/>
      <c r="W175" s="92"/>
      <c r="X175" s="92"/>
      <c r="Y175" s="92" t="s">
        <v>606</v>
      </c>
      <c r="Z175" s="92" t="s">
        <v>770</v>
      </c>
      <c r="AA175" s="92" t="s">
        <v>1236</v>
      </c>
      <c r="AB175" s="92" t="s">
        <v>778</v>
      </c>
      <c r="AC175" s="92" t="s">
        <v>929</v>
      </c>
      <c r="AD175" s="92" t="s">
        <v>1248</v>
      </c>
      <c r="AE175" s="92"/>
      <c r="AF175" s="92"/>
    </row>
    <row r="176" spans="1:32" ht="12.75" customHeight="1">
      <c r="A176" s="92" t="s">
        <v>703</v>
      </c>
      <c r="B176" s="92" t="s">
        <v>1104</v>
      </c>
      <c r="C176" s="92" t="s">
        <v>922</v>
      </c>
      <c r="D176" s="92"/>
      <c r="E176" s="92" t="s">
        <v>768</v>
      </c>
      <c r="F176" s="92"/>
      <c r="G176" s="263">
        <v>9896503</v>
      </c>
      <c r="H176" s="263">
        <v>1397325</v>
      </c>
      <c r="I176" s="156" t="s">
        <v>769</v>
      </c>
      <c r="J176" s="263">
        <v>6</v>
      </c>
      <c r="K176" s="263">
        <v>21</v>
      </c>
      <c r="L176" s="96">
        <v>186635.12</v>
      </c>
      <c r="M176" s="100">
        <v>44327</v>
      </c>
      <c r="N176" s="100">
        <v>44361</v>
      </c>
      <c r="O176" s="100">
        <v>44361</v>
      </c>
      <c r="P176" s="92" t="s">
        <v>1903</v>
      </c>
      <c r="Q176" s="92" t="s">
        <v>640</v>
      </c>
      <c r="R176" s="92" t="s">
        <v>1904</v>
      </c>
      <c r="S176" s="92" t="s">
        <v>1905</v>
      </c>
      <c r="T176" s="92" t="s">
        <v>1906</v>
      </c>
      <c r="U176" s="92"/>
      <c r="V176" s="92"/>
      <c r="W176" s="92"/>
      <c r="X176" s="92"/>
      <c r="Y176" s="92" t="s">
        <v>606</v>
      </c>
      <c r="Z176" s="92" t="s">
        <v>770</v>
      </c>
      <c r="AA176" s="92" t="s">
        <v>1236</v>
      </c>
      <c r="AB176" s="92" t="s">
        <v>778</v>
      </c>
      <c r="AC176" s="92" t="s">
        <v>1105</v>
      </c>
      <c r="AD176" s="92"/>
      <c r="AE176" s="92"/>
      <c r="AF176" s="92"/>
    </row>
    <row r="177" spans="1:32" ht="12.75" customHeight="1">
      <c r="A177" s="92" t="s">
        <v>703</v>
      </c>
      <c r="B177" s="92" t="s">
        <v>1104</v>
      </c>
      <c r="C177" s="92" t="s">
        <v>922</v>
      </c>
      <c r="D177" s="92"/>
      <c r="E177" s="92" t="s">
        <v>49</v>
      </c>
      <c r="F177" s="92"/>
      <c r="G177" s="263">
        <v>9884724</v>
      </c>
      <c r="H177" s="263">
        <v>18260318</v>
      </c>
      <c r="I177" s="156" t="s">
        <v>772</v>
      </c>
      <c r="J177" s="263">
        <v>6</v>
      </c>
      <c r="K177" s="263">
        <v>21</v>
      </c>
      <c r="L177" s="96">
        <v>-110000</v>
      </c>
      <c r="M177" s="100">
        <v>44377</v>
      </c>
      <c r="N177" s="100">
        <v>44377</v>
      </c>
      <c r="O177" s="100">
        <v>44335</v>
      </c>
      <c r="P177" s="92" t="s">
        <v>1795</v>
      </c>
      <c r="Q177" s="92" t="s">
        <v>1796</v>
      </c>
      <c r="R177" s="92"/>
      <c r="S177" s="92">
        <v>0</v>
      </c>
      <c r="T177" s="92" t="s">
        <v>1628</v>
      </c>
      <c r="U177" s="92"/>
      <c r="V177" s="92"/>
      <c r="W177" s="92"/>
      <c r="X177" s="92"/>
      <c r="Y177" s="92" t="s">
        <v>606</v>
      </c>
      <c r="Z177" s="92" t="s">
        <v>770</v>
      </c>
      <c r="AA177" s="92" t="s">
        <v>1289</v>
      </c>
      <c r="AB177" s="92" t="s">
        <v>778</v>
      </c>
      <c r="AC177" s="92" t="s">
        <v>1105</v>
      </c>
      <c r="AD177" s="92" t="s">
        <v>1624</v>
      </c>
      <c r="AE177" s="92"/>
      <c r="AF177" s="92"/>
    </row>
    <row r="178" spans="1:32" ht="12.75" customHeight="1">
      <c r="A178" s="92" t="s">
        <v>846</v>
      </c>
      <c r="B178" s="92" t="s">
        <v>47</v>
      </c>
      <c r="C178" s="92" t="s">
        <v>922</v>
      </c>
      <c r="D178" s="92"/>
      <c r="E178" s="92" t="s">
        <v>923</v>
      </c>
      <c r="F178" s="92"/>
      <c r="G178" s="263">
        <v>9889176</v>
      </c>
      <c r="H178" s="263">
        <v>18267375</v>
      </c>
      <c r="I178" s="156" t="s">
        <v>924</v>
      </c>
      <c r="J178" s="263">
        <v>6</v>
      </c>
      <c r="K178" s="263">
        <v>21</v>
      </c>
      <c r="L178" s="96">
        <v>15000</v>
      </c>
      <c r="M178" s="100">
        <v>44377</v>
      </c>
      <c r="N178" s="100">
        <v>44377</v>
      </c>
      <c r="O178" s="100">
        <v>44348</v>
      </c>
      <c r="P178" s="92" t="s">
        <v>1907</v>
      </c>
      <c r="Q178" s="92" t="s">
        <v>1217</v>
      </c>
      <c r="R178" s="92"/>
      <c r="S178" s="92">
        <v>0</v>
      </c>
      <c r="T178" s="92" t="s">
        <v>1908</v>
      </c>
      <c r="U178" s="92"/>
      <c r="V178" s="92"/>
      <c r="W178" s="92"/>
      <c r="X178" s="92"/>
      <c r="Y178" s="92" t="s">
        <v>606</v>
      </c>
      <c r="Z178" s="92" t="s">
        <v>770</v>
      </c>
      <c r="AA178" s="92" t="s">
        <v>1041</v>
      </c>
      <c r="AB178" s="92" t="s">
        <v>1891</v>
      </c>
      <c r="AC178" s="92" t="s">
        <v>789</v>
      </c>
      <c r="AD178" s="92" t="s">
        <v>1909</v>
      </c>
      <c r="AE178" s="92"/>
      <c r="AF178" s="92"/>
    </row>
    <row r="179" spans="1:32" ht="12.75" customHeight="1">
      <c r="A179" s="92" t="s">
        <v>846</v>
      </c>
      <c r="B179" s="92" t="s">
        <v>72</v>
      </c>
      <c r="C179" s="92" t="s">
        <v>922</v>
      </c>
      <c r="D179" s="92"/>
      <c r="E179" s="92" t="s">
        <v>768</v>
      </c>
      <c r="F179" s="92"/>
      <c r="G179" s="263">
        <v>9893415</v>
      </c>
      <c r="H179" s="263">
        <v>1396436</v>
      </c>
      <c r="I179" s="156" t="s">
        <v>769</v>
      </c>
      <c r="J179" s="263">
        <v>6</v>
      </c>
      <c r="K179" s="263">
        <v>21</v>
      </c>
      <c r="L179" s="96">
        <v>15473.91</v>
      </c>
      <c r="M179" s="100">
        <v>44351</v>
      </c>
      <c r="N179" s="100">
        <v>44354</v>
      </c>
      <c r="O179" s="100">
        <v>44354</v>
      </c>
      <c r="P179" s="92" t="s">
        <v>1910</v>
      </c>
      <c r="Q179" s="92" t="s">
        <v>828</v>
      </c>
      <c r="R179" s="92" t="s">
        <v>1911</v>
      </c>
      <c r="S179" s="92" t="s">
        <v>1912</v>
      </c>
      <c r="T179" s="92" t="s">
        <v>1745</v>
      </c>
      <c r="U179" s="92"/>
      <c r="V179" s="92"/>
      <c r="W179" s="92"/>
      <c r="X179" s="92"/>
      <c r="Y179" s="92" t="s">
        <v>606</v>
      </c>
      <c r="Z179" s="92" t="s">
        <v>770</v>
      </c>
      <c r="AA179" s="92" t="s">
        <v>1236</v>
      </c>
      <c r="AB179" s="92" t="s">
        <v>778</v>
      </c>
      <c r="AC179" s="92" t="s">
        <v>786</v>
      </c>
      <c r="AD179" s="92" t="s">
        <v>1746</v>
      </c>
      <c r="AE179" s="92"/>
      <c r="AF179" s="92"/>
    </row>
    <row r="180" spans="1:32" ht="12.75" customHeight="1">
      <c r="A180" s="92" t="s">
        <v>846</v>
      </c>
      <c r="B180" s="92" t="s">
        <v>72</v>
      </c>
      <c r="C180" s="92" t="s">
        <v>922</v>
      </c>
      <c r="D180" s="92"/>
      <c r="E180" s="92" t="s">
        <v>768</v>
      </c>
      <c r="F180" s="92"/>
      <c r="G180" s="263">
        <v>9895511</v>
      </c>
      <c r="H180" s="263">
        <v>1397043</v>
      </c>
      <c r="I180" s="156" t="s">
        <v>769</v>
      </c>
      <c r="J180" s="263">
        <v>6</v>
      </c>
      <c r="K180" s="263">
        <v>21</v>
      </c>
      <c r="L180" s="96">
        <v>77507.28</v>
      </c>
      <c r="M180" s="100">
        <v>44006</v>
      </c>
      <c r="N180" s="100">
        <v>44358</v>
      </c>
      <c r="O180" s="100">
        <v>44358</v>
      </c>
      <c r="P180" s="92" t="s">
        <v>1913</v>
      </c>
      <c r="Q180" s="92" t="s">
        <v>650</v>
      </c>
      <c r="R180" s="92" t="s">
        <v>1914</v>
      </c>
      <c r="S180" s="92" t="s">
        <v>1420</v>
      </c>
      <c r="T180" s="92" t="s">
        <v>1915</v>
      </c>
      <c r="U180" s="92"/>
      <c r="V180" s="92"/>
      <c r="W180" s="92"/>
      <c r="X180" s="92"/>
      <c r="Y180" s="92" t="s">
        <v>606</v>
      </c>
      <c r="Z180" s="92" t="s">
        <v>770</v>
      </c>
      <c r="AA180" s="92" t="s">
        <v>1236</v>
      </c>
      <c r="AB180" s="92" t="s">
        <v>778</v>
      </c>
      <c r="AC180" s="92" t="s">
        <v>786</v>
      </c>
      <c r="AD180" s="92" t="s">
        <v>1916</v>
      </c>
      <c r="AE180" s="92"/>
      <c r="AF180" s="92"/>
    </row>
    <row r="181" spans="1:32" ht="12.75" customHeight="1">
      <c r="A181" s="92" t="s">
        <v>846</v>
      </c>
      <c r="B181" s="92" t="s">
        <v>72</v>
      </c>
      <c r="C181" s="92" t="s">
        <v>922</v>
      </c>
      <c r="D181" s="92"/>
      <c r="E181" s="92" t="s">
        <v>775</v>
      </c>
      <c r="F181" s="92"/>
      <c r="G181" s="263">
        <v>9899612</v>
      </c>
      <c r="H181" s="263">
        <v>3841943</v>
      </c>
      <c r="I181" s="156" t="s">
        <v>776</v>
      </c>
      <c r="J181" s="263">
        <v>6</v>
      </c>
      <c r="K181" s="263">
        <v>21</v>
      </c>
      <c r="L181" s="96">
        <v>4526.09</v>
      </c>
      <c r="M181" s="100">
        <v>44377</v>
      </c>
      <c r="N181" s="100">
        <v>44369</v>
      </c>
      <c r="O181" s="100">
        <v>44369</v>
      </c>
      <c r="P181" s="92" t="s">
        <v>777</v>
      </c>
      <c r="Q181" s="92" t="s">
        <v>828</v>
      </c>
      <c r="R181" s="92"/>
      <c r="S181" s="92" t="s">
        <v>1912</v>
      </c>
      <c r="T181" s="92" t="s">
        <v>1985</v>
      </c>
      <c r="U181" s="92"/>
      <c r="V181" s="92"/>
      <c r="W181" s="92"/>
      <c r="X181" s="92"/>
      <c r="Y181" s="92" t="s">
        <v>606</v>
      </c>
      <c r="Z181" s="92" t="s">
        <v>770</v>
      </c>
      <c r="AA181" s="92" t="s">
        <v>778</v>
      </c>
      <c r="AB181" s="92" t="s">
        <v>778</v>
      </c>
      <c r="AC181" s="92" t="s">
        <v>786</v>
      </c>
      <c r="AD181" s="92"/>
      <c r="AE181" s="92"/>
      <c r="AF181" s="92"/>
    </row>
    <row r="182" spans="1:32" ht="12.75" customHeight="1">
      <c r="A182" s="92" t="s">
        <v>846</v>
      </c>
      <c r="B182" s="92" t="s">
        <v>72</v>
      </c>
      <c r="C182" s="92" t="s">
        <v>922</v>
      </c>
      <c r="D182" s="92"/>
      <c r="E182" s="92" t="s">
        <v>768</v>
      </c>
      <c r="F182" s="92"/>
      <c r="G182" s="263">
        <v>9900718</v>
      </c>
      <c r="H182" s="263">
        <v>1398342</v>
      </c>
      <c r="I182" s="156" t="s">
        <v>769</v>
      </c>
      <c r="J182" s="263">
        <v>6</v>
      </c>
      <c r="K182" s="263">
        <v>21</v>
      </c>
      <c r="L182" s="96">
        <v>34345.879999999997</v>
      </c>
      <c r="M182" s="100">
        <v>44369</v>
      </c>
      <c r="N182" s="100">
        <v>44370</v>
      </c>
      <c r="O182" s="100">
        <v>44370</v>
      </c>
      <c r="P182" s="92" t="s">
        <v>1986</v>
      </c>
      <c r="Q182" s="92" t="s">
        <v>1722</v>
      </c>
      <c r="R182" s="92" t="s">
        <v>1987</v>
      </c>
      <c r="S182" s="92" t="s">
        <v>1988</v>
      </c>
      <c r="T182" s="92" t="s">
        <v>1634</v>
      </c>
      <c r="U182" s="92"/>
      <c r="V182" s="92"/>
      <c r="W182" s="92"/>
      <c r="X182" s="92"/>
      <c r="Y182" s="92" t="s">
        <v>606</v>
      </c>
      <c r="Z182" s="92" t="s">
        <v>770</v>
      </c>
      <c r="AA182" s="92" t="s">
        <v>1236</v>
      </c>
      <c r="AB182" s="92" t="s">
        <v>778</v>
      </c>
      <c r="AC182" s="92" t="s">
        <v>786</v>
      </c>
      <c r="AD182" s="92" t="s">
        <v>1632</v>
      </c>
      <c r="AE182" s="92"/>
      <c r="AF182" s="92"/>
    </row>
    <row r="183" spans="1:32" ht="12.75" customHeight="1">
      <c r="A183" s="92" t="s">
        <v>846</v>
      </c>
      <c r="B183" s="92" t="s">
        <v>72</v>
      </c>
      <c r="C183" s="92" t="s">
        <v>922</v>
      </c>
      <c r="D183" s="92"/>
      <c r="E183" s="92" t="s">
        <v>768</v>
      </c>
      <c r="F183" s="92"/>
      <c r="G183" s="263">
        <v>9901176</v>
      </c>
      <c r="H183" s="263">
        <v>1398614</v>
      </c>
      <c r="I183" s="156" t="s">
        <v>769</v>
      </c>
      <c r="J183" s="263">
        <v>6</v>
      </c>
      <c r="K183" s="263">
        <v>21</v>
      </c>
      <c r="L183" s="96">
        <v>55000</v>
      </c>
      <c r="M183" s="100">
        <v>44368</v>
      </c>
      <c r="N183" s="100">
        <v>44371</v>
      </c>
      <c r="O183" s="100">
        <v>44371</v>
      </c>
      <c r="P183" s="92" t="s">
        <v>1989</v>
      </c>
      <c r="Q183" s="92" t="s">
        <v>1990</v>
      </c>
      <c r="R183" s="92" t="s">
        <v>1991</v>
      </c>
      <c r="S183" s="92" t="s">
        <v>1992</v>
      </c>
      <c r="T183" s="92" t="s">
        <v>1798</v>
      </c>
      <c r="U183" s="92"/>
      <c r="V183" s="92"/>
      <c r="W183" s="92"/>
      <c r="X183" s="92"/>
      <c r="Y183" s="92" t="s">
        <v>606</v>
      </c>
      <c r="Z183" s="92" t="s">
        <v>770</v>
      </c>
      <c r="AA183" s="92" t="s">
        <v>1236</v>
      </c>
      <c r="AB183" s="92" t="s">
        <v>778</v>
      </c>
      <c r="AC183" s="92" t="s">
        <v>786</v>
      </c>
      <c r="AD183" s="92"/>
      <c r="AE183" s="92"/>
      <c r="AF183" s="92"/>
    </row>
    <row r="184" spans="1:32" ht="12.75" customHeight="1">
      <c r="A184" s="92" t="s">
        <v>846</v>
      </c>
      <c r="B184" s="92" t="s">
        <v>72</v>
      </c>
      <c r="C184" s="92" t="s">
        <v>922</v>
      </c>
      <c r="D184" s="92"/>
      <c r="E184" s="92" t="s">
        <v>923</v>
      </c>
      <c r="F184" s="92"/>
      <c r="G184" s="263">
        <v>9889176</v>
      </c>
      <c r="H184" s="263">
        <v>18267371</v>
      </c>
      <c r="I184" s="156" t="s">
        <v>924</v>
      </c>
      <c r="J184" s="263">
        <v>6</v>
      </c>
      <c r="K184" s="263">
        <v>21</v>
      </c>
      <c r="L184" s="96">
        <v>6300</v>
      </c>
      <c r="M184" s="100">
        <v>44377</v>
      </c>
      <c r="N184" s="100">
        <v>44377</v>
      </c>
      <c r="O184" s="100">
        <v>44348</v>
      </c>
      <c r="P184" s="92" t="s">
        <v>1917</v>
      </c>
      <c r="Q184" s="92" t="s">
        <v>1217</v>
      </c>
      <c r="R184" s="92"/>
      <c r="S184" s="92">
        <v>0</v>
      </c>
      <c r="T184" s="92" t="s">
        <v>1918</v>
      </c>
      <c r="U184" s="92"/>
      <c r="V184" s="92"/>
      <c r="W184" s="92"/>
      <c r="X184" s="92"/>
      <c r="Y184" s="92" t="s">
        <v>606</v>
      </c>
      <c r="Z184" s="92" t="s">
        <v>770</v>
      </c>
      <c r="AA184" s="92" t="s">
        <v>1041</v>
      </c>
      <c r="AB184" s="92" t="s">
        <v>1891</v>
      </c>
      <c r="AC184" s="92" t="s">
        <v>786</v>
      </c>
      <c r="AD184" s="92" t="s">
        <v>1919</v>
      </c>
      <c r="AE184" s="92"/>
      <c r="AF184" s="92"/>
    </row>
    <row r="185" spans="1:32" ht="12.75" customHeight="1">
      <c r="A185" s="92" t="s">
        <v>846</v>
      </c>
      <c r="B185" s="92" t="s">
        <v>72</v>
      </c>
      <c r="C185" s="92" t="s">
        <v>922</v>
      </c>
      <c r="D185" s="92"/>
      <c r="E185" s="92" t="s">
        <v>923</v>
      </c>
      <c r="F185" s="92"/>
      <c r="G185" s="263">
        <v>9889176</v>
      </c>
      <c r="H185" s="263">
        <v>18267372</v>
      </c>
      <c r="I185" s="156" t="s">
        <v>924</v>
      </c>
      <c r="J185" s="263">
        <v>6</v>
      </c>
      <c r="K185" s="263">
        <v>21</v>
      </c>
      <c r="L185" s="96">
        <v>10000</v>
      </c>
      <c r="M185" s="100">
        <v>44377</v>
      </c>
      <c r="N185" s="100">
        <v>44377</v>
      </c>
      <c r="O185" s="100">
        <v>44348</v>
      </c>
      <c r="P185" s="92" t="s">
        <v>1920</v>
      </c>
      <c r="Q185" s="92" t="s">
        <v>1217</v>
      </c>
      <c r="R185" s="92"/>
      <c r="S185" s="92">
        <v>0</v>
      </c>
      <c r="T185" s="92" t="s">
        <v>1921</v>
      </c>
      <c r="U185" s="92"/>
      <c r="V185" s="92"/>
      <c r="W185" s="92"/>
      <c r="X185" s="92"/>
      <c r="Y185" s="92" t="s">
        <v>606</v>
      </c>
      <c r="Z185" s="92" t="s">
        <v>770</v>
      </c>
      <c r="AA185" s="92" t="s">
        <v>1041</v>
      </c>
      <c r="AB185" s="92" t="s">
        <v>1891</v>
      </c>
      <c r="AC185" s="92" t="s">
        <v>786</v>
      </c>
      <c r="AD185" s="92" t="s">
        <v>1922</v>
      </c>
      <c r="AE185" s="92"/>
      <c r="AF185" s="92"/>
    </row>
    <row r="186" spans="1:32" ht="12.75" customHeight="1">
      <c r="A186" s="92" t="s">
        <v>846</v>
      </c>
      <c r="B186" s="92" t="s">
        <v>72</v>
      </c>
      <c r="C186" s="92" t="s">
        <v>922</v>
      </c>
      <c r="D186" s="92"/>
      <c r="E186" s="92" t="s">
        <v>923</v>
      </c>
      <c r="F186" s="92"/>
      <c r="G186" s="263">
        <v>9889176</v>
      </c>
      <c r="H186" s="263">
        <v>18267376</v>
      </c>
      <c r="I186" s="156" t="s">
        <v>924</v>
      </c>
      <c r="J186" s="263">
        <v>6</v>
      </c>
      <c r="K186" s="263">
        <v>21</v>
      </c>
      <c r="L186" s="96">
        <v>35000</v>
      </c>
      <c r="M186" s="100">
        <v>44377</v>
      </c>
      <c r="N186" s="100">
        <v>44377</v>
      </c>
      <c r="O186" s="100">
        <v>44348</v>
      </c>
      <c r="P186" s="92" t="s">
        <v>1923</v>
      </c>
      <c r="Q186" s="92" t="s">
        <v>1217</v>
      </c>
      <c r="R186" s="92"/>
      <c r="S186" s="92">
        <v>0</v>
      </c>
      <c r="T186" s="92" t="s">
        <v>1924</v>
      </c>
      <c r="U186" s="92"/>
      <c r="V186" s="92"/>
      <c r="W186" s="92"/>
      <c r="X186" s="92"/>
      <c r="Y186" s="92" t="s">
        <v>606</v>
      </c>
      <c r="Z186" s="92" t="s">
        <v>770</v>
      </c>
      <c r="AA186" s="92" t="s">
        <v>1041</v>
      </c>
      <c r="AB186" s="92" t="s">
        <v>1891</v>
      </c>
      <c r="AC186" s="92" t="s">
        <v>786</v>
      </c>
      <c r="AD186" s="92" t="s">
        <v>1071</v>
      </c>
      <c r="AE186" s="92"/>
      <c r="AF186" s="92"/>
    </row>
    <row r="187" spans="1:32" ht="12.75" customHeight="1">
      <c r="A187" s="92" t="s">
        <v>846</v>
      </c>
      <c r="B187" s="92" t="s">
        <v>72</v>
      </c>
      <c r="C187" s="92" t="s">
        <v>922</v>
      </c>
      <c r="D187" s="92"/>
      <c r="E187" s="92" t="s">
        <v>49</v>
      </c>
      <c r="F187" s="92"/>
      <c r="G187" s="263">
        <v>9886355</v>
      </c>
      <c r="H187" s="263">
        <v>18263159</v>
      </c>
      <c r="I187" s="156" t="s">
        <v>772</v>
      </c>
      <c r="J187" s="263">
        <v>6</v>
      </c>
      <c r="K187" s="263">
        <v>21</v>
      </c>
      <c r="L187" s="96">
        <v>-55000</v>
      </c>
      <c r="M187" s="100">
        <v>44377</v>
      </c>
      <c r="N187" s="100">
        <v>44377</v>
      </c>
      <c r="O187" s="100">
        <v>44338</v>
      </c>
      <c r="P187" s="92" t="s">
        <v>1797</v>
      </c>
      <c r="Q187" s="92" t="s">
        <v>1744</v>
      </c>
      <c r="R187" s="92"/>
      <c r="S187" s="92">
        <v>0</v>
      </c>
      <c r="T187" s="92" t="s">
        <v>1798</v>
      </c>
      <c r="U187" s="92"/>
      <c r="V187" s="92"/>
      <c r="W187" s="92" t="s">
        <v>773</v>
      </c>
      <c r="X187" s="92"/>
      <c r="Y187" s="92" t="s">
        <v>606</v>
      </c>
      <c r="Z187" s="92" t="s">
        <v>770</v>
      </c>
      <c r="AA187" s="92" t="s">
        <v>1252</v>
      </c>
      <c r="AB187" s="92" t="s">
        <v>1281</v>
      </c>
      <c r="AC187" s="92" t="s">
        <v>786</v>
      </c>
      <c r="AD187" s="92" t="s">
        <v>1799</v>
      </c>
      <c r="AE187" s="92"/>
      <c r="AF187" s="92"/>
    </row>
    <row r="188" spans="1:32" ht="12.75" customHeight="1">
      <c r="A188" s="92" t="s">
        <v>846</v>
      </c>
      <c r="B188" s="92" t="s">
        <v>609</v>
      </c>
      <c r="C188" s="92" t="s">
        <v>922</v>
      </c>
      <c r="D188" s="92"/>
      <c r="E188" s="92" t="s">
        <v>49</v>
      </c>
      <c r="F188" s="92"/>
      <c r="G188" s="263">
        <v>9884530</v>
      </c>
      <c r="H188" s="263">
        <v>18260264</v>
      </c>
      <c r="I188" s="156" t="s">
        <v>772</v>
      </c>
      <c r="J188" s="263">
        <v>6</v>
      </c>
      <c r="K188" s="263">
        <v>21</v>
      </c>
      <c r="L188" s="96">
        <v>-150000</v>
      </c>
      <c r="M188" s="100">
        <v>44348</v>
      </c>
      <c r="N188" s="100">
        <v>44348</v>
      </c>
      <c r="O188" s="100">
        <v>44335</v>
      </c>
      <c r="P188" s="92" t="s">
        <v>1800</v>
      </c>
      <c r="Q188" s="92" t="s">
        <v>1800</v>
      </c>
      <c r="R188" s="92"/>
      <c r="S188" s="92">
        <v>0</v>
      </c>
      <c r="T188" s="92" t="s">
        <v>1801</v>
      </c>
      <c r="U188" s="92"/>
      <c r="V188" s="92"/>
      <c r="W188" s="92" t="s">
        <v>773</v>
      </c>
      <c r="X188" s="92"/>
      <c r="Y188" s="92" t="s">
        <v>606</v>
      </c>
      <c r="Z188" s="92" t="s">
        <v>770</v>
      </c>
      <c r="AA188" s="92" t="s">
        <v>1041</v>
      </c>
      <c r="AB188" s="92" t="s">
        <v>778</v>
      </c>
      <c r="AC188" s="92" t="s">
        <v>788</v>
      </c>
      <c r="AD188" s="92" t="s">
        <v>1802</v>
      </c>
      <c r="AE188" s="92"/>
      <c r="AF188" s="92"/>
    </row>
    <row r="189" spans="1:32" ht="12.75" customHeight="1">
      <c r="A189" s="92" t="s">
        <v>846</v>
      </c>
      <c r="B189" s="92" t="s">
        <v>609</v>
      </c>
      <c r="C189" s="92" t="s">
        <v>922</v>
      </c>
      <c r="D189" s="92"/>
      <c r="E189" s="92" t="s">
        <v>49</v>
      </c>
      <c r="F189" s="92"/>
      <c r="G189" s="263">
        <v>9888175</v>
      </c>
      <c r="H189" s="263">
        <v>18266591</v>
      </c>
      <c r="I189" s="156" t="s">
        <v>772</v>
      </c>
      <c r="J189" s="263">
        <v>6</v>
      </c>
      <c r="K189" s="263">
        <v>21</v>
      </c>
      <c r="L189" s="96">
        <v>-13797.8</v>
      </c>
      <c r="M189" s="100">
        <v>44377</v>
      </c>
      <c r="N189" s="100">
        <v>44377</v>
      </c>
      <c r="O189" s="100">
        <v>44343</v>
      </c>
      <c r="P189" s="92" t="s">
        <v>1803</v>
      </c>
      <c r="Q189" s="92" t="s">
        <v>1803</v>
      </c>
      <c r="R189" s="92"/>
      <c r="S189" s="92">
        <v>0</v>
      </c>
      <c r="T189" s="92" t="s">
        <v>1925</v>
      </c>
      <c r="U189" s="92"/>
      <c r="V189" s="92"/>
      <c r="W189" s="92" t="s">
        <v>773</v>
      </c>
      <c r="X189" s="92"/>
      <c r="Y189" s="92" t="s">
        <v>606</v>
      </c>
      <c r="Z189" s="92" t="s">
        <v>770</v>
      </c>
      <c r="AA189" s="92" t="s">
        <v>1041</v>
      </c>
      <c r="AB189" s="92" t="s">
        <v>1253</v>
      </c>
      <c r="AC189" s="92" t="s">
        <v>788</v>
      </c>
      <c r="AD189" s="92" t="s">
        <v>1639</v>
      </c>
      <c r="AE189" s="92"/>
      <c r="AF189" s="92"/>
    </row>
    <row r="190" spans="1:32" ht="12.75" customHeight="1">
      <c r="A190" s="92" t="s">
        <v>846</v>
      </c>
      <c r="B190" s="92" t="s">
        <v>67</v>
      </c>
      <c r="C190" s="92" t="s">
        <v>922</v>
      </c>
      <c r="D190" s="92"/>
      <c r="E190" s="92" t="s">
        <v>923</v>
      </c>
      <c r="F190" s="92"/>
      <c r="G190" s="263">
        <v>9889176</v>
      </c>
      <c r="H190" s="263">
        <v>18267369</v>
      </c>
      <c r="I190" s="156" t="s">
        <v>924</v>
      </c>
      <c r="J190" s="263">
        <v>6</v>
      </c>
      <c r="K190" s="263">
        <v>21</v>
      </c>
      <c r="L190" s="96">
        <v>5000</v>
      </c>
      <c r="M190" s="100">
        <v>44377</v>
      </c>
      <c r="N190" s="100">
        <v>44377</v>
      </c>
      <c r="O190" s="100">
        <v>44348</v>
      </c>
      <c r="P190" s="92" t="s">
        <v>1926</v>
      </c>
      <c r="Q190" s="92" t="s">
        <v>1217</v>
      </c>
      <c r="R190" s="92"/>
      <c r="S190" s="92">
        <v>0</v>
      </c>
      <c r="T190" s="92" t="s">
        <v>1927</v>
      </c>
      <c r="U190" s="92"/>
      <c r="V190" s="92"/>
      <c r="W190" s="92"/>
      <c r="X190" s="92"/>
      <c r="Y190" s="92" t="s">
        <v>606</v>
      </c>
      <c r="Z190" s="92" t="s">
        <v>770</v>
      </c>
      <c r="AA190" s="92" t="s">
        <v>1041</v>
      </c>
      <c r="AB190" s="92" t="s">
        <v>1891</v>
      </c>
      <c r="AC190" s="92" t="s">
        <v>790</v>
      </c>
      <c r="AD190" s="92" t="s">
        <v>1928</v>
      </c>
      <c r="AE190" s="92"/>
      <c r="AF190" s="92"/>
    </row>
    <row r="191" spans="1:32" ht="12.75" customHeight="1">
      <c r="A191" s="92" t="s">
        <v>846</v>
      </c>
      <c r="B191" s="92" t="s">
        <v>67</v>
      </c>
      <c r="C191" s="92" t="s">
        <v>922</v>
      </c>
      <c r="D191" s="92"/>
      <c r="E191" s="92" t="s">
        <v>923</v>
      </c>
      <c r="F191" s="92"/>
      <c r="G191" s="263">
        <v>9889176</v>
      </c>
      <c r="H191" s="263">
        <v>18267374</v>
      </c>
      <c r="I191" s="156" t="s">
        <v>924</v>
      </c>
      <c r="J191" s="263">
        <v>6</v>
      </c>
      <c r="K191" s="263">
        <v>21</v>
      </c>
      <c r="L191" s="96">
        <v>210000</v>
      </c>
      <c r="M191" s="100">
        <v>44377</v>
      </c>
      <c r="N191" s="100">
        <v>44377</v>
      </c>
      <c r="O191" s="100">
        <v>44348</v>
      </c>
      <c r="P191" s="92" t="s">
        <v>1929</v>
      </c>
      <c r="Q191" s="92" t="s">
        <v>1217</v>
      </c>
      <c r="R191" s="92"/>
      <c r="S191" s="92">
        <v>0</v>
      </c>
      <c r="T191" s="92" t="s">
        <v>1930</v>
      </c>
      <c r="U191" s="92"/>
      <c r="V191" s="92"/>
      <c r="W191" s="92"/>
      <c r="X191" s="92"/>
      <c r="Y191" s="92" t="s">
        <v>606</v>
      </c>
      <c r="Z191" s="92" t="s">
        <v>770</v>
      </c>
      <c r="AA191" s="92" t="s">
        <v>1041</v>
      </c>
      <c r="AB191" s="92" t="s">
        <v>1891</v>
      </c>
      <c r="AC191" s="92" t="s">
        <v>790</v>
      </c>
      <c r="AD191" s="92" t="s">
        <v>1931</v>
      </c>
      <c r="AE191" s="92"/>
      <c r="AF191" s="92"/>
    </row>
    <row r="192" spans="1:32" ht="12.75" customHeight="1">
      <c r="A192" s="92" t="s">
        <v>892</v>
      </c>
      <c r="B192" s="92" t="s">
        <v>50</v>
      </c>
      <c r="C192" s="92" t="s">
        <v>922</v>
      </c>
      <c r="D192" s="92"/>
      <c r="E192" s="92" t="s">
        <v>768</v>
      </c>
      <c r="F192" s="92"/>
      <c r="G192" s="263">
        <v>9890674</v>
      </c>
      <c r="H192" s="263">
        <v>1394288</v>
      </c>
      <c r="I192" s="156" t="s">
        <v>769</v>
      </c>
      <c r="J192" s="263">
        <v>6</v>
      </c>
      <c r="K192" s="263">
        <v>21</v>
      </c>
      <c r="L192" s="96">
        <v>5000</v>
      </c>
      <c r="M192" s="100">
        <v>44333</v>
      </c>
      <c r="N192" s="100">
        <v>44351</v>
      </c>
      <c r="O192" s="100">
        <v>44351</v>
      </c>
      <c r="P192" s="92" t="s">
        <v>1932</v>
      </c>
      <c r="Q192" s="92" t="s">
        <v>1933</v>
      </c>
      <c r="R192" s="92" t="s">
        <v>1934</v>
      </c>
      <c r="S192" s="92" t="s">
        <v>1935</v>
      </c>
      <c r="T192" s="92" t="s">
        <v>1808</v>
      </c>
      <c r="U192" s="92"/>
      <c r="V192" s="92"/>
      <c r="W192" s="92"/>
      <c r="X192" s="92"/>
      <c r="Y192" s="92" t="s">
        <v>606</v>
      </c>
      <c r="Z192" s="92" t="s">
        <v>770</v>
      </c>
      <c r="AA192" s="92" t="s">
        <v>1236</v>
      </c>
      <c r="AB192" s="92" t="s">
        <v>778</v>
      </c>
      <c r="AC192" s="92" t="s">
        <v>925</v>
      </c>
      <c r="AD192" s="92" t="s">
        <v>1809</v>
      </c>
      <c r="AE192" s="92"/>
      <c r="AF192" s="92"/>
    </row>
    <row r="193" spans="1:32" ht="12.75" customHeight="1">
      <c r="A193" s="92" t="s">
        <v>892</v>
      </c>
      <c r="B193" s="92" t="s">
        <v>50</v>
      </c>
      <c r="C193" s="92" t="s">
        <v>922</v>
      </c>
      <c r="D193" s="92"/>
      <c r="E193" s="92" t="s">
        <v>768</v>
      </c>
      <c r="F193" s="92"/>
      <c r="G193" s="263">
        <v>9890882</v>
      </c>
      <c r="H193" s="263">
        <v>1394495</v>
      </c>
      <c r="I193" s="156" t="s">
        <v>769</v>
      </c>
      <c r="J193" s="263">
        <v>6</v>
      </c>
      <c r="K193" s="263">
        <v>21</v>
      </c>
      <c r="L193" s="96">
        <v>80518.899999999994</v>
      </c>
      <c r="M193" s="100">
        <v>44347</v>
      </c>
      <c r="N193" s="100">
        <v>44351</v>
      </c>
      <c r="O193" s="100">
        <v>44351</v>
      </c>
      <c r="P193" s="92" t="s">
        <v>1936</v>
      </c>
      <c r="Q193" s="92" t="s">
        <v>1381</v>
      </c>
      <c r="R193" s="92" t="s">
        <v>1937</v>
      </c>
      <c r="S193" s="92" t="s">
        <v>1383</v>
      </c>
      <c r="T193" s="92" t="s">
        <v>1384</v>
      </c>
      <c r="U193" s="92"/>
      <c r="V193" s="92"/>
      <c r="W193" s="92"/>
      <c r="X193" s="92"/>
      <c r="Y193" s="92" t="s">
        <v>606</v>
      </c>
      <c r="Z193" s="92" t="s">
        <v>770</v>
      </c>
      <c r="AA193" s="92" t="s">
        <v>1236</v>
      </c>
      <c r="AB193" s="92" t="s">
        <v>778</v>
      </c>
      <c r="AC193" s="92" t="s">
        <v>925</v>
      </c>
      <c r="AD193" s="92" t="s">
        <v>1385</v>
      </c>
      <c r="AE193" s="92"/>
      <c r="AF193" s="92"/>
    </row>
    <row r="194" spans="1:32" ht="12.75" customHeight="1">
      <c r="A194" s="92" t="s">
        <v>892</v>
      </c>
      <c r="B194" s="92" t="s">
        <v>50</v>
      </c>
      <c r="C194" s="92" t="s">
        <v>922</v>
      </c>
      <c r="D194" s="92"/>
      <c r="E194" s="92" t="s">
        <v>768</v>
      </c>
      <c r="F194" s="92"/>
      <c r="G194" s="263">
        <v>9894629</v>
      </c>
      <c r="H194" s="263">
        <v>1396813</v>
      </c>
      <c r="I194" s="156" t="s">
        <v>769</v>
      </c>
      <c r="J194" s="263">
        <v>6</v>
      </c>
      <c r="K194" s="263">
        <v>21</v>
      </c>
      <c r="L194" s="96">
        <v>112425</v>
      </c>
      <c r="M194" s="100">
        <v>44347</v>
      </c>
      <c r="N194" s="100">
        <v>44356</v>
      </c>
      <c r="O194" s="100">
        <v>44356</v>
      </c>
      <c r="P194" s="92" t="s">
        <v>1938</v>
      </c>
      <c r="Q194" s="92" t="s">
        <v>1939</v>
      </c>
      <c r="R194" s="92" t="s">
        <v>1940</v>
      </c>
      <c r="S194" s="92" t="s">
        <v>1941</v>
      </c>
      <c r="T194" s="92" t="s">
        <v>1942</v>
      </c>
      <c r="U194" s="92"/>
      <c r="V194" s="92"/>
      <c r="W194" s="92"/>
      <c r="X194" s="92"/>
      <c r="Y194" s="92" t="s">
        <v>606</v>
      </c>
      <c r="Z194" s="92" t="s">
        <v>770</v>
      </c>
      <c r="AA194" s="92" t="s">
        <v>1236</v>
      </c>
      <c r="AB194" s="92" t="s">
        <v>778</v>
      </c>
      <c r="AC194" s="92" t="s">
        <v>925</v>
      </c>
      <c r="AD194" s="92" t="s">
        <v>1943</v>
      </c>
      <c r="AE194" s="92"/>
      <c r="AF194" s="92"/>
    </row>
    <row r="195" spans="1:32" ht="12.75" customHeight="1">
      <c r="A195" s="92" t="s">
        <v>892</v>
      </c>
      <c r="B195" s="92" t="s">
        <v>50</v>
      </c>
      <c r="C195" s="92" t="s">
        <v>922</v>
      </c>
      <c r="D195" s="92"/>
      <c r="E195" s="92" t="s">
        <v>923</v>
      </c>
      <c r="F195" s="92"/>
      <c r="G195" s="263">
        <v>9889176</v>
      </c>
      <c r="H195" s="263">
        <v>18267370</v>
      </c>
      <c r="I195" s="156" t="s">
        <v>924</v>
      </c>
      <c r="J195" s="263">
        <v>6</v>
      </c>
      <c r="K195" s="263">
        <v>21</v>
      </c>
      <c r="L195" s="96">
        <v>60000</v>
      </c>
      <c r="M195" s="100">
        <v>44377</v>
      </c>
      <c r="N195" s="100">
        <v>44377</v>
      </c>
      <c r="O195" s="100">
        <v>44348</v>
      </c>
      <c r="P195" s="92" t="s">
        <v>1944</v>
      </c>
      <c r="Q195" s="92" t="s">
        <v>1217</v>
      </c>
      <c r="R195" s="92"/>
      <c r="S195" s="92">
        <v>0</v>
      </c>
      <c r="T195" s="92" t="s">
        <v>1945</v>
      </c>
      <c r="U195" s="92"/>
      <c r="V195" s="92"/>
      <c r="W195" s="92"/>
      <c r="X195" s="92"/>
      <c r="Y195" s="92" t="s">
        <v>606</v>
      </c>
      <c r="Z195" s="92" t="s">
        <v>770</v>
      </c>
      <c r="AA195" s="92" t="s">
        <v>1041</v>
      </c>
      <c r="AB195" s="92" t="s">
        <v>1891</v>
      </c>
      <c r="AC195" s="92" t="s">
        <v>925</v>
      </c>
      <c r="AD195" s="92" t="s">
        <v>1946</v>
      </c>
      <c r="AE195" s="92"/>
      <c r="AF195" s="92"/>
    </row>
    <row r="196" spans="1:32" ht="12.75" customHeight="1">
      <c r="A196" s="92" t="s">
        <v>892</v>
      </c>
      <c r="B196" s="92" t="s">
        <v>50</v>
      </c>
      <c r="C196" s="92" t="s">
        <v>922</v>
      </c>
      <c r="D196" s="92"/>
      <c r="E196" s="92" t="s">
        <v>49</v>
      </c>
      <c r="F196" s="92"/>
      <c r="G196" s="263">
        <v>9883759</v>
      </c>
      <c r="H196" s="263">
        <v>18258966</v>
      </c>
      <c r="I196" s="156" t="s">
        <v>772</v>
      </c>
      <c r="J196" s="263">
        <v>6</v>
      </c>
      <c r="K196" s="263">
        <v>21</v>
      </c>
      <c r="L196" s="96">
        <v>-545290.15</v>
      </c>
      <c r="M196" s="100">
        <v>44377</v>
      </c>
      <c r="N196" s="100">
        <v>44377</v>
      </c>
      <c r="O196" s="100">
        <v>44334</v>
      </c>
      <c r="P196" s="92" t="s">
        <v>1804</v>
      </c>
      <c r="Q196" s="92" t="s">
        <v>1805</v>
      </c>
      <c r="R196" s="92"/>
      <c r="S196" s="92">
        <v>0</v>
      </c>
      <c r="T196" s="92" t="s">
        <v>1384</v>
      </c>
      <c r="U196" s="92"/>
      <c r="V196" s="92"/>
      <c r="W196" s="92" t="s">
        <v>773</v>
      </c>
      <c r="X196" s="92"/>
      <c r="Y196" s="92" t="s">
        <v>606</v>
      </c>
      <c r="Z196" s="92" t="s">
        <v>770</v>
      </c>
      <c r="AA196" s="92" t="s">
        <v>1806</v>
      </c>
      <c r="AB196" s="92" t="s">
        <v>778</v>
      </c>
      <c r="AC196" s="92" t="s">
        <v>925</v>
      </c>
      <c r="AD196" s="92" t="s">
        <v>1385</v>
      </c>
      <c r="AE196" s="92"/>
      <c r="AF196" s="92"/>
    </row>
    <row r="197" spans="1:32" ht="12.75" customHeight="1">
      <c r="A197" s="92" t="s">
        <v>892</v>
      </c>
      <c r="B197" s="92" t="s">
        <v>50</v>
      </c>
      <c r="C197" s="92" t="s">
        <v>922</v>
      </c>
      <c r="D197" s="92"/>
      <c r="E197" s="92" t="s">
        <v>49</v>
      </c>
      <c r="F197" s="92"/>
      <c r="G197" s="263">
        <v>9883759</v>
      </c>
      <c r="H197" s="263">
        <v>18258966</v>
      </c>
      <c r="I197" s="156" t="s">
        <v>772</v>
      </c>
      <c r="J197" s="263">
        <v>6</v>
      </c>
      <c r="K197" s="263">
        <v>21</v>
      </c>
      <c r="L197" s="96">
        <v>-5000</v>
      </c>
      <c r="M197" s="100">
        <v>44377</v>
      </c>
      <c r="N197" s="100">
        <v>44377</v>
      </c>
      <c r="O197" s="100">
        <v>44334</v>
      </c>
      <c r="P197" s="92" t="s">
        <v>1807</v>
      </c>
      <c r="Q197" s="92" t="s">
        <v>1805</v>
      </c>
      <c r="R197" s="92"/>
      <c r="S197" s="92">
        <v>0</v>
      </c>
      <c r="T197" s="92" t="s">
        <v>1808</v>
      </c>
      <c r="U197" s="92"/>
      <c r="V197" s="92"/>
      <c r="W197" s="92" t="s">
        <v>773</v>
      </c>
      <c r="X197" s="92"/>
      <c r="Y197" s="92" t="s">
        <v>606</v>
      </c>
      <c r="Z197" s="92" t="s">
        <v>770</v>
      </c>
      <c r="AA197" s="92" t="s">
        <v>1806</v>
      </c>
      <c r="AB197" s="92" t="s">
        <v>778</v>
      </c>
      <c r="AC197" s="92" t="s">
        <v>925</v>
      </c>
      <c r="AD197" s="92" t="s">
        <v>1809</v>
      </c>
      <c r="AE197" s="92"/>
      <c r="AF197" s="92"/>
    </row>
    <row r="198" spans="1:32" ht="12.75" customHeight="1">
      <c r="A198" s="92" t="s">
        <v>892</v>
      </c>
      <c r="B198" s="92" t="s">
        <v>50</v>
      </c>
      <c r="C198" s="92" t="s">
        <v>922</v>
      </c>
      <c r="D198" s="92"/>
      <c r="E198" s="92" t="s">
        <v>49</v>
      </c>
      <c r="F198" s="92"/>
      <c r="G198" s="263">
        <v>9883759</v>
      </c>
      <c r="H198" s="263">
        <v>18260813</v>
      </c>
      <c r="I198" s="156" t="s">
        <v>772</v>
      </c>
      <c r="J198" s="263">
        <v>6</v>
      </c>
      <c r="K198" s="263">
        <v>21</v>
      </c>
      <c r="L198" s="96">
        <v>-80000</v>
      </c>
      <c r="M198" s="100">
        <v>44377</v>
      </c>
      <c r="N198" s="100">
        <v>44377</v>
      </c>
      <c r="O198" s="100">
        <v>44334</v>
      </c>
      <c r="P198" s="92" t="s">
        <v>1810</v>
      </c>
      <c r="Q198" s="92" t="s">
        <v>1811</v>
      </c>
      <c r="R198" s="92"/>
      <c r="S198" s="92">
        <v>0</v>
      </c>
      <c r="T198" s="92" t="s">
        <v>1497</v>
      </c>
      <c r="U198" s="92"/>
      <c r="V198" s="92"/>
      <c r="W198" s="92" t="s">
        <v>773</v>
      </c>
      <c r="X198" s="92"/>
      <c r="Y198" s="92" t="s">
        <v>606</v>
      </c>
      <c r="Z198" s="92" t="s">
        <v>770</v>
      </c>
      <c r="AA198" s="92" t="s">
        <v>1806</v>
      </c>
      <c r="AB198" s="92" t="s">
        <v>778</v>
      </c>
      <c r="AC198" s="92" t="s">
        <v>925</v>
      </c>
      <c r="AD198" s="92" t="s">
        <v>1498</v>
      </c>
      <c r="AE198" s="92"/>
      <c r="AF198" s="92"/>
    </row>
    <row r="199" spans="1:32" ht="12.75" customHeight="1">
      <c r="A199" s="92" t="s">
        <v>892</v>
      </c>
      <c r="B199" s="92" t="s">
        <v>50</v>
      </c>
      <c r="C199" s="92" t="s">
        <v>922</v>
      </c>
      <c r="D199" s="92"/>
      <c r="E199" s="92" t="s">
        <v>49</v>
      </c>
      <c r="F199" s="92"/>
      <c r="G199" s="263">
        <v>9883759</v>
      </c>
      <c r="H199" s="263">
        <v>18260813</v>
      </c>
      <c r="I199" s="156" t="s">
        <v>772</v>
      </c>
      <c r="J199" s="263">
        <v>6</v>
      </c>
      <c r="K199" s="263">
        <v>21</v>
      </c>
      <c r="L199" s="96">
        <v>-40000</v>
      </c>
      <c r="M199" s="100">
        <v>44377</v>
      </c>
      <c r="N199" s="100">
        <v>44377</v>
      </c>
      <c r="O199" s="100">
        <v>44334</v>
      </c>
      <c r="P199" s="92" t="s">
        <v>1223</v>
      </c>
      <c r="Q199" s="92" t="s">
        <v>1811</v>
      </c>
      <c r="R199" s="92"/>
      <c r="S199" s="92">
        <v>0</v>
      </c>
      <c r="T199" s="92" t="s">
        <v>1658</v>
      </c>
      <c r="U199" s="92"/>
      <c r="V199" s="92"/>
      <c r="W199" s="92" t="s">
        <v>773</v>
      </c>
      <c r="X199" s="92"/>
      <c r="Y199" s="92" t="s">
        <v>606</v>
      </c>
      <c r="Z199" s="92" t="s">
        <v>770</v>
      </c>
      <c r="AA199" s="92" t="s">
        <v>1806</v>
      </c>
      <c r="AB199" s="92" t="s">
        <v>778</v>
      </c>
      <c r="AC199" s="92" t="s">
        <v>925</v>
      </c>
      <c r="AD199" s="92" t="s">
        <v>1655</v>
      </c>
      <c r="AE199" s="92"/>
      <c r="AF199" s="92"/>
    </row>
    <row r="200" spans="1:32" ht="12.75" customHeight="1">
      <c r="A200" s="92" t="s">
        <v>892</v>
      </c>
      <c r="B200" s="92" t="s">
        <v>50</v>
      </c>
      <c r="C200" s="92" t="s">
        <v>922</v>
      </c>
      <c r="D200" s="92"/>
      <c r="E200" s="92" t="s">
        <v>49</v>
      </c>
      <c r="F200" s="92"/>
      <c r="G200" s="263">
        <v>9883759</v>
      </c>
      <c r="H200" s="263">
        <v>18261725</v>
      </c>
      <c r="I200" s="156" t="s">
        <v>772</v>
      </c>
      <c r="J200" s="263">
        <v>6</v>
      </c>
      <c r="K200" s="263">
        <v>21</v>
      </c>
      <c r="L200" s="96">
        <v>-100000</v>
      </c>
      <c r="M200" s="100">
        <v>44377</v>
      </c>
      <c r="N200" s="100">
        <v>44377</v>
      </c>
      <c r="O200" s="100">
        <v>44334</v>
      </c>
      <c r="P200" s="92" t="s">
        <v>1812</v>
      </c>
      <c r="Q200" s="92" t="s">
        <v>1805</v>
      </c>
      <c r="R200" s="92"/>
      <c r="S200" s="92">
        <v>0</v>
      </c>
      <c r="T200" s="92" t="s">
        <v>1813</v>
      </c>
      <c r="U200" s="92"/>
      <c r="V200" s="92"/>
      <c r="W200" s="92" t="s">
        <v>773</v>
      </c>
      <c r="X200" s="92"/>
      <c r="Y200" s="92" t="s">
        <v>606</v>
      </c>
      <c r="Z200" s="92" t="s">
        <v>770</v>
      </c>
      <c r="AA200" s="92" t="s">
        <v>1806</v>
      </c>
      <c r="AB200" s="92" t="s">
        <v>778</v>
      </c>
      <c r="AC200" s="92" t="s">
        <v>925</v>
      </c>
      <c r="AD200" s="92" t="s">
        <v>1814</v>
      </c>
      <c r="AE200" s="92"/>
      <c r="AF200" s="92"/>
    </row>
    <row r="201" spans="1:32" ht="12.75" customHeight="1">
      <c r="A201" s="92" t="s">
        <v>892</v>
      </c>
      <c r="B201" s="92" t="s">
        <v>1001</v>
      </c>
      <c r="C201" s="92" t="s">
        <v>922</v>
      </c>
      <c r="D201" s="92"/>
      <c r="E201" s="92" t="s">
        <v>768</v>
      </c>
      <c r="F201" s="92"/>
      <c r="G201" s="263">
        <v>9891756</v>
      </c>
      <c r="H201" s="263">
        <v>1395290</v>
      </c>
      <c r="I201" s="156" t="s">
        <v>769</v>
      </c>
      <c r="J201" s="263">
        <v>6</v>
      </c>
      <c r="K201" s="263">
        <v>21</v>
      </c>
      <c r="L201" s="96">
        <v>140000</v>
      </c>
      <c r="M201" s="100">
        <v>44326</v>
      </c>
      <c r="N201" s="100">
        <v>44351</v>
      </c>
      <c r="O201" s="100">
        <v>44351</v>
      </c>
      <c r="P201" s="92" t="s">
        <v>1947</v>
      </c>
      <c r="Q201" s="92" t="s">
        <v>41</v>
      </c>
      <c r="R201" s="92" t="s">
        <v>1948</v>
      </c>
      <c r="S201" s="92" t="s">
        <v>1117</v>
      </c>
      <c r="T201" s="92" t="s">
        <v>1949</v>
      </c>
      <c r="U201" s="92"/>
      <c r="V201" s="92"/>
      <c r="W201" s="92"/>
      <c r="X201" s="92"/>
      <c r="Y201" s="92" t="s">
        <v>606</v>
      </c>
      <c r="Z201" s="92" t="s">
        <v>770</v>
      </c>
      <c r="AA201" s="92" t="s">
        <v>1236</v>
      </c>
      <c r="AB201" s="92" t="s">
        <v>778</v>
      </c>
      <c r="AC201" s="92" t="s">
        <v>1002</v>
      </c>
      <c r="AD201" s="92" t="s">
        <v>1300</v>
      </c>
      <c r="AE201" s="92"/>
      <c r="AF201" s="92"/>
    </row>
    <row r="202" spans="1:32" ht="12.75" customHeight="1">
      <c r="A202" s="92" t="s">
        <v>892</v>
      </c>
      <c r="B202" s="92" t="s">
        <v>1001</v>
      </c>
      <c r="C202" s="92" t="s">
        <v>922</v>
      </c>
      <c r="D202" s="92"/>
      <c r="E202" s="92" t="s">
        <v>775</v>
      </c>
      <c r="F202" s="92"/>
      <c r="G202" s="263">
        <v>9894744</v>
      </c>
      <c r="H202" s="263">
        <v>3841099</v>
      </c>
      <c r="I202" s="156" t="s">
        <v>776</v>
      </c>
      <c r="J202" s="263">
        <v>6</v>
      </c>
      <c r="K202" s="263">
        <v>21</v>
      </c>
      <c r="L202" s="96">
        <v>10000</v>
      </c>
      <c r="M202" s="100">
        <v>44377</v>
      </c>
      <c r="N202" s="100">
        <v>44357</v>
      </c>
      <c r="O202" s="100">
        <v>44357</v>
      </c>
      <c r="P202" s="92" t="s">
        <v>777</v>
      </c>
      <c r="Q202" s="92" t="s">
        <v>41</v>
      </c>
      <c r="R202" s="92"/>
      <c r="S202" s="92" t="s">
        <v>1117</v>
      </c>
      <c r="T202" s="92" t="s">
        <v>1950</v>
      </c>
      <c r="U202" s="92"/>
      <c r="V202" s="92"/>
      <c r="W202" s="92"/>
      <c r="X202" s="92"/>
      <c r="Y202" s="92" t="s">
        <v>606</v>
      </c>
      <c r="Z202" s="92" t="s">
        <v>770</v>
      </c>
      <c r="AA202" s="92" t="s">
        <v>778</v>
      </c>
      <c r="AB202" s="92" t="s">
        <v>778</v>
      </c>
      <c r="AC202" s="92" t="s">
        <v>1002</v>
      </c>
      <c r="AD202" s="92"/>
      <c r="AE202" s="92"/>
      <c r="AF202" s="92"/>
    </row>
    <row r="203" spans="1:32" ht="12.75" customHeight="1">
      <c r="A203" s="92" t="s">
        <v>892</v>
      </c>
      <c r="B203" s="92" t="s">
        <v>1001</v>
      </c>
      <c r="C203" s="92" t="s">
        <v>922</v>
      </c>
      <c r="D203" s="92"/>
      <c r="E203" s="92" t="s">
        <v>49</v>
      </c>
      <c r="F203" s="92"/>
      <c r="G203" s="263">
        <v>9883759</v>
      </c>
      <c r="H203" s="263">
        <v>18261725</v>
      </c>
      <c r="I203" s="156" t="s">
        <v>772</v>
      </c>
      <c r="J203" s="263">
        <v>6</v>
      </c>
      <c r="K203" s="263">
        <v>21</v>
      </c>
      <c r="L203" s="96">
        <v>-177150</v>
      </c>
      <c r="M203" s="100">
        <v>44377</v>
      </c>
      <c r="N203" s="100">
        <v>44377</v>
      </c>
      <c r="O203" s="100">
        <v>44334</v>
      </c>
      <c r="P203" s="92" t="s">
        <v>1815</v>
      </c>
      <c r="Q203" s="92" t="s">
        <v>1805</v>
      </c>
      <c r="R203" s="92"/>
      <c r="S203" s="92">
        <v>0</v>
      </c>
      <c r="T203" s="92" t="s">
        <v>1816</v>
      </c>
      <c r="U203" s="92"/>
      <c r="V203" s="92"/>
      <c r="W203" s="92" t="s">
        <v>773</v>
      </c>
      <c r="X203" s="92"/>
      <c r="Y203" s="92" t="s">
        <v>606</v>
      </c>
      <c r="Z203" s="92" t="s">
        <v>770</v>
      </c>
      <c r="AA203" s="92" t="s">
        <v>1806</v>
      </c>
      <c r="AB203" s="92" t="s">
        <v>778</v>
      </c>
      <c r="AC203" s="92" t="s">
        <v>1002</v>
      </c>
      <c r="AD203" s="92" t="s">
        <v>1817</v>
      </c>
      <c r="AE203" s="92"/>
      <c r="AF203" s="92"/>
    </row>
    <row r="204" spans="1:32" ht="12.75" customHeight="1">
      <c r="A204" s="92" t="s">
        <v>892</v>
      </c>
      <c r="B204" s="92" t="s">
        <v>52</v>
      </c>
      <c r="C204" s="92" t="s">
        <v>922</v>
      </c>
      <c r="D204" s="92"/>
      <c r="E204" s="92" t="s">
        <v>768</v>
      </c>
      <c r="F204" s="92"/>
      <c r="G204" s="263">
        <v>9894195</v>
      </c>
      <c r="H204" s="263">
        <v>1396548</v>
      </c>
      <c r="I204" s="156" t="s">
        <v>769</v>
      </c>
      <c r="J204" s="263">
        <v>6</v>
      </c>
      <c r="K204" s="263">
        <v>21</v>
      </c>
      <c r="L204" s="96">
        <v>107440</v>
      </c>
      <c r="M204" s="100">
        <v>44354</v>
      </c>
      <c r="N204" s="100">
        <v>44356</v>
      </c>
      <c r="O204" s="100">
        <v>44356</v>
      </c>
      <c r="P204" s="92" t="s">
        <v>1951</v>
      </c>
      <c r="Q204" s="92" t="s">
        <v>839</v>
      </c>
      <c r="R204" s="92" t="s">
        <v>1952</v>
      </c>
      <c r="S204" s="92" t="s">
        <v>1738</v>
      </c>
      <c r="T204" s="92" t="s">
        <v>1953</v>
      </c>
      <c r="U204" s="92"/>
      <c r="V204" s="92"/>
      <c r="W204" s="92"/>
      <c r="X204" s="92"/>
      <c r="Y204" s="92" t="s">
        <v>606</v>
      </c>
      <c r="Z204" s="92" t="s">
        <v>770</v>
      </c>
      <c r="AA204" s="92" t="s">
        <v>1236</v>
      </c>
      <c r="AB204" s="92" t="s">
        <v>778</v>
      </c>
      <c r="AC204" s="92" t="s">
        <v>782</v>
      </c>
      <c r="AD204" s="92" t="s">
        <v>1954</v>
      </c>
      <c r="AE204" s="92"/>
      <c r="AF204" s="92"/>
    </row>
    <row r="205" spans="1:32" ht="12.75" customHeight="1">
      <c r="A205" s="92" t="s">
        <v>892</v>
      </c>
      <c r="B205" s="92" t="s">
        <v>52</v>
      </c>
      <c r="C205" s="92" t="s">
        <v>922</v>
      </c>
      <c r="D205" s="92"/>
      <c r="E205" s="92" t="s">
        <v>768</v>
      </c>
      <c r="F205" s="92"/>
      <c r="G205" s="263">
        <v>9898654</v>
      </c>
      <c r="H205" s="263">
        <v>1397843</v>
      </c>
      <c r="I205" s="156" t="s">
        <v>769</v>
      </c>
      <c r="J205" s="263">
        <v>6</v>
      </c>
      <c r="K205" s="263">
        <v>21</v>
      </c>
      <c r="L205" s="96">
        <v>200000</v>
      </c>
      <c r="M205" s="100">
        <v>44364</v>
      </c>
      <c r="N205" s="100">
        <v>44364</v>
      </c>
      <c r="O205" s="100">
        <v>44364</v>
      </c>
      <c r="P205" s="92" t="s">
        <v>1993</v>
      </c>
      <c r="Q205" s="92" t="s">
        <v>716</v>
      </c>
      <c r="R205" s="92" t="s">
        <v>1994</v>
      </c>
      <c r="S205" s="92" t="s">
        <v>1995</v>
      </c>
      <c r="T205" s="92" t="s">
        <v>1996</v>
      </c>
      <c r="U205" s="92"/>
      <c r="V205" s="92"/>
      <c r="W205" s="92"/>
      <c r="X205" s="92"/>
      <c r="Y205" s="92" t="s">
        <v>606</v>
      </c>
      <c r="Z205" s="92" t="s">
        <v>770</v>
      </c>
      <c r="AA205" s="92" t="s">
        <v>1236</v>
      </c>
      <c r="AB205" s="92" t="s">
        <v>778</v>
      </c>
      <c r="AC205" s="92" t="s">
        <v>782</v>
      </c>
      <c r="AD205" s="92" t="s">
        <v>1292</v>
      </c>
      <c r="AE205" s="92"/>
      <c r="AF205" s="92"/>
    </row>
    <row r="206" spans="1:32" ht="12.75" customHeight="1">
      <c r="A206" s="92" t="s">
        <v>892</v>
      </c>
      <c r="B206" s="92" t="s">
        <v>52</v>
      </c>
      <c r="C206" s="92" t="s">
        <v>922</v>
      </c>
      <c r="D206" s="92"/>
      <c r="E206" s="92" t="s">
        <v>49</v>
      </c>
      <c r="F206" s="92"/>
      <c r="G206" s="263">
        <v>9886365</v>
      </c>
      <c r="H206" s="263">
        <v>18263169</v>
      </c>
      <c r="I206" s="156" t="s">
        <v>772</v>
      </c>
      <c r="J206" s="263">
        <v>6</v>
      </c>
      <c r="K206" s="263">
        <v>21</v>
      </c>
      <c r="L206" s="96">
        <v>-400000</v>
      </c>
      <c r="M206" s="100">
        <v>44377</v>
      </c>
      <c r="N206" s="100">
        <v>44377</v>
      </c>
      <c r="O206" s="100">
        <v>44338</v>
      </c>
      <c r="P206" s="92" t="s">
        <v>1818</v>
      </c>
      <c r="Q206" s="92" t="s">
        <v>1819</v>
      </c>
      <c r="R206" s="92"/>
      <c r="S206" s="92">
        <v>0</v>
      </c>
      <c r="T206" s="92" t="s">
        <v>1422</v>
      </c>
      <c r="U206" s="92"/>
      <c r="V206" s="92"/>
      <c r="W206" s="92"/>
      <c r="X206" s="92"/>
      <c r="Y206" s="92" t="s">
        <v>606</v>
      </c>
      <c r="Z206" s="92" t="s">
        <v>770</v>
      </c>
      <c r="AA206" s="92" t="s">
        <v>1014</v>
      </c>
      <c r="AB206" s="92" t="s">
        <v>778</v>
      </c>
      <c r="AC206" s="92" t="s">
        <v>782</v>
      </c>
      <c r="AD206" s="92" t="s">
        <v>1339</v>
      </c>
      <c r="AE206" s="92"/>
      <c r="AF206" s="92"/>
    </row>
    <row r="207" spans="1:32" ht="12.75" customHeight="1">
      <c r="A207" s="92" t="s">
        <v>892</v>
      </c>
      <c r="B207" s="92" t="s">
        <v>52</v>
      </c>
      <c r="C207" s="92" t="s">
        <v>922</v>
      </c>
      <c r="D207" s="92"/>
      <c r="E207" s="92" t="s">
        <v>49</v>
      </c>
      <c r="F207" s="92"/>
      <c r="G207" s="263">
        <v>9888411</v>
      </c>
      <c r="H207" s="263">
        <v>18266657</v>
      </c>
      <c r="I207" s="156" t="s">
        <v>772</v>
      </c>
      <c r="J207" s="263">
        <v>6</v>
      </c>
      <c r="K207" s="263">
        <v>21</v>
      </c>
      <c r="L207" s="96">
        <v>-204700</v>
      </c>
      <c r="M207" s="100">
        <v>44377</v>
      </c>
      <c r="N207" s="100">
        <v>44377</v>
      </c>
      <c r="O207" s="100">
        <v>44343</v>
      </c>
      <c r="P207" s="92" t="s">
        <v>1955</v>
      </c>
      <c r="Q207" s="92" t="s">
        <v>1956</v>
      </c>
      <c r="R207" s="92"/>
      <c r="S207" s="92">
        <v>0</v>
      </c>
      <c r="T207" s="92" t="s">
        <v>1752</v>
      </c>
      <c r="U207" s="92"/>
      <c r="V207" s="92"/>
      <c r="W207" s="92"/>
      <c r="X207" s="92"/>
      <c r="Y207" s="92" t="s">
        <v>606</v>
      </c>
      <c r="Z207" s="92" t="s">
        <v>770</v>
      </c>
      <c r="AA207" s="92" t="s">
        <v>1014</v>
      </c>
      <c r="AB207" s="92" t="s">
        <v>1306</v>
      </c>
      <c r="AC207" s="92" t="s">
        <v>782</v>
      </c>
      <c r="AD207" s="92" t="s">
        <v>1753</v>
      </c>
      <c r="AE207" s="92"/>
      <c r="AF207" s="92"/>
    </row>
    <row r="208" spans="1:32" ht="12.75" customHeight="1">
      <c r="A208" s="92" t="s">
        <v>892</v>
      </c>
      <c r="B208" s="92" t="s">
        <v>1023</v>
      </c>
      <c r="C208" s="92" t="s">
        <v>922</v>
      </c>
      <c r="D208" s="92"/>
      <c r="E208" s="92" t="s">
        <v>768</v>
      </c>
      <c r="F208" s="92"/>
      <c r="G208" s="263">
        <v>9890268</v>
      </c>
      <c r="H208" s="263">
        <v>1393888</v>
      </c>
      <c r="I208" s="156" t="s">
        <v>769</v>
      </c>
      <c r="J208" s="263">
        <v>6</v>
      </c>
      <c r="K208" s="263">
        <v>21</v>
      </c>
      <c r="L208" s="96">
        <v>125000</v>
      </c>
      <c r="M208" s="100">
        <v>44344</v>
      </c>
      <c r="N208" s="100">
        <v>44351</v>
      </c>
      <c r="O208" s="100">
        <v>44351</v>
      </c>
      <c r="P208" s="92" t="s">
        <v>1957</v>
      </c>
      <c r="Q208" s="92" t="s">
        <v>1313</v>
      </c>
      <c r="R208" s="92" t="s">
        <v>1958</v>
      </c>
      <c r="S208" s="92" t="s">
        <v>1959</v>
      </c>
      <c r="T208" s="92" t="s">
        <v>1392</v>
      </c>
      <c r="U208" s="92"/>
      <c r="V208" s="92"/>
      <c r="W208" s="92"/>
      <c r="X208" s="92"/>
      <c r="Y208" s="92" t="s">
        <v>606</v>
      </c>
      <c r="Z208" s="92" t="s">
        <v>770</v>
      </c>
      <c r="AA208" s="92" t="s">
        <v>1236</v>
      </c>
      <c r="AB208" s="92" t="s">
        <v>778</v>
      </c>
      <c r="AC208" s="92" t="s">
        <v>1024</v>
      </c>
      <c r="AD208" s="92" t="s">
        <v>1297</v>
      </c>
      <c r="AE208" s="92"/>
      <c r="AF208" s="92"/>
    </row>
    <row r="209" spans="1:32" ht="12.75" customHeight="1">
      <c r="A209" s="92" t="s">
        <v>892</v>
      </c>
      <c r="B209" s="92" t="s">
        <v>1023</v>
      </c>
      <c r="C209" s="92" t="s">
        <v>922</v>
      </c>
      <c r="D209" s="92"/>
      <c r="E209" s="92" t="s">
        <v>768</v>
      </c>
      <c r="F209" s="92"/>
      <c r="G209" s="263">
        <v>9897793</v>
      </c>
      <c r="H209" s="263">
        <v>1397434</v>
      </c>
      <c r="I209" s="156" t="s">
        <v>769</v>
      </c>
      <c r="J209" s="263">
        <v>6</v>
      </c>
      <c r="K209" s="263">
        <v>21</v>
      </c>
      <c r="L209" s="96">
        <v>340513.42</v>
      </c>
      <c r="M209" s="100">
        <v>44360</v>
      </c>
      <c r="N209" s="100">
        <v>44363</v>
      </c>
      <c r="O209" s="100">
        <v>44363</v>
      </c>
      <c r="P209" s="92" t="s">
        <v>1997</v>
      </c>
      <c r="Q209" s="92" t="s">
        <v>1998</v>
      </c>
      <c r="R209" s="92" t="s">
        <v>1999</v>
      </c>
      <c r="S209" s="92" t="s">
        <v>832</v>
      </c>
      <c r="T209" s="92" t="s">
        <v>1674</v>
      </c>
      <c r="U209" s="92"/>
      <c r="V209" s="92"/>
      <c r="W209" s="92"/>
      <c r="X209" s="92"/>
      <c r="Y209" s="92" t="s">
        <v>606</v>
      </c>
      <c r="Z209" s="92" t="s">
        <v>770</v>
      </c>
      <c r="AA209" s="92" t="s">
        <v>1236</v>
      </c>
      <c r="AB209" s="92" t="s">
        <v>778</v>
      </c>
      <c r="AC209" s="92" t="s">
        <v>1024</v>
      </c>
      <c r="AD209" s="92" t="s">
        <v>1672</v>
      </c>
      <c r="AE209" s="92"/>
      <c r="AF209" s="92"/>
    </row>
    <row r="210" spans="1:32" ht="12.75" customHeight="1">
      <c r="A210" s="92" t="s">
        <v>892</v>
      </c>
      <c r="B210" s="92" t="s">
        <v>1005</v>
      </c>
      <c r="C210" s="92" t="s">
        <v>922</v>
      </c>
      <c r="D210" s="92"/>
      <c r="E210" s="92" t="s">
        <v>49</v>
      </c>
      <c r="F210" s="92"/>
      <c r="G210" s="263">
        <v>9887662</v>
      </c>
      <c r="H210" s="263">
        <v>18266506</v>
      </c>
      <c r="I210" s="156" t="s">
        <v>772</v>
      </c>
      <c r="J210" s="263">
        <v>6</v>
      </c>
      <c r="K210" s="263">
        <v>21</v>
      </c>
      <c r="L210" s="96">
        <v>-429840</v>
      </c>
      <c r="M210" s="100">
        <v>44377</v>
      </c>
      <c r="N210" s="100">
        <v>44377</v>
      </c>
      <c r="O210" s="100">
        <v>44342</v>
      </c>
      <c r="P210" s="92" t="s">
        <v>1820</v>
      </c>
      <c r="Q210" s="92" t="s">
        <v>1821</v>
      </c>
      <c r="R210" s="92"/>
      <c r="S210" s="92">
        <v>0</v>
      </c>
      <c r="T210" s="92" t="s">
        <v>1960</v>
      </c>
      <c r="U210" s="92"/>
      <c r="V210" s="92"/>
      <c r="W210" s="92" t="s">
        <v>1251</v>
      </c>
      <c r="X210" s="92"/>
      <c r="Y210" s="92" t="s">
        <v>606</v>
      </c>
      <c r="Z210" s="92" t="s">
        <v>770</v>
      </c>
      <c r="AA210" s="92" t="s">
        <v>1822</v>
      </c>
      <c r="AB210" s="92" t="s">
        <v>778</v>
      </c>
      <c r="AC210" s="92" t="s">
        <v>1006</v>
      </c>
      <c r="AD210" s="92" t="s">
        <v>1823</v>
      </c>
      <c r="AE210" s="92"/>
      <c r="AF210" s="92"/>
    </row>
    <row r="211" spans="1:32" ht="12.75" customHeight="1">
      <c r="A211" s="92" t="s">
        <v>892</v>
      </c>
      <c r="B211" s="92" t="s">
        <v>62</v>
      </c>
      <c r="C211" s="92" t="s">
        <v>922</v>
      </c>
      <c r="D211" s="92"/>
      <c r="E211" s="92" t="s">
        <v>768</v>
      </c>
      <c r="F211" s="92"/>
      <c r="G211" s="263">
        <v>9890605</v>
      </c>
      <c r="H211" s="263">
        <v>1394221</v>
      </c>
      <c r="I211" s="156" t="s">
        <v>769</v>
      </c>
      <c r="J211" s="263">
        <v>6</v>
      </c>
      <c r="K211" s="263">
        <v>21</v>
      </c>
      <c r="L211" s="96">
        <v>130650</v>
      </c>
      <c r="M211" s="100">
        <v>44336</v>
      </c>
      <c r="N211" s="100">
        <v>44351</v>
      </c>
      <c r="O211" s="100">
        <v>44351</v>
      </c>
      <c r="P211" s="92" t="s">
        <v>1961</v>
      </c>
      <c r="Q211" s="92" t="s">
        <v>1129</v>
      </c>
      <c r="R211" s="92" t="s">
        <v>1962</v>
      </c>
      <c r="S211" s="92" t="s">
        <v>1667</v>
      </c>
      <c r="T211" s="92" t="s">
        <v>1830</v>
      </c>
      <c r="U211" s="92"/>
      <c r="V211" s="92"/>
      <c r="W211" s="92"/>
      <c r="X211" s="92"/>
      <c r="Y211" s="92" t="s">
        <v>606</v>
      </c>
      <c r="Z211" s="92" t="s">
        <v>770</v>
      </c>
      <c r="AA211" s="92" t="s">
        <v>1236</v>
      </c>
      <c r="AB211" s="92" t="s">
        <v>778</v>
      </c>
      <c r="AC211" s="92" t="s">
        <v>914</v>
      </c>
      <c r="AD211" s="92" t="s">
        <v>1120</v>
      </c>
      <c r="AE211" s="92"/>
      <c r="AF211" s="92"/>
    </row>
    <row r="212" spans="1:32" ht="12.75" customHeight="1">
      <c r="A212" s="92" t="s">
        <v>892</v>
      </c>
      <c r="B212" s="92" t="s">
        <v>62</v>
      </c>
      <c r="C212" s="92" t="s">
        <v>922</v>
      </c>
      <c r="D212" s="92"/>
      <c r="E212" s="92" t="s">
        <v>49</v>
      </c>
      <c r="F212" s="92"/>
      <c r="G212" s="263">
        <v>9882654</v>
      </c>
      <c r="H212" s="263">
        <v>18252113</v>
      </c>
      <c r="I212" s="156" t="s">
        <v>772</v>
      </c>
      <c r="J212" s="263">
        <v>6</v>
      </c>
      <c r="K212" s="263">
        <v>21</v>
      </c>
      <c r="L212" s="96">
        <v>-436590</v>
      </c>
      <c r="M212" s="100">
        <v>44377</v>
      </c>
      <c r="N212" s="100">
        <v>44377</v>
      </c>
      <c r="O212" s="100">
        <v>44332</v>
      </c>
      <c r="P212" s="92" t="s">
        <v>1824</v>
      </c>
      <c r="Q212" s="92" t="s">
        <v>1825</v>
      </c>
      <c r="R212" s="92"/>
      <c r="S212" s="92">
        <v>0</v>
      </c>
      <c r="T212" s="92" t="s">
        <v>1826</v>
      </c>
      <c r="U212" s="92"/>
      <c r="V212" s="92"/>
      <c r="W212" s="92" t="s">
        <v>1251</v>
      </c>
      <c r="X212" s="92"/>
      <c r="Y212" s="92" t="s">
        <v>606</v>
      </c>
      <c r="Z212" s="92" t="s">
        <v>770</v>
      </c>
      <c r="AA212" s="92" t="s">
        <v>1469</v>
      </c>
      <c r="AB212" s="92" t="s">
        <v>778</v>
      </c>
      <c r="AC212" s="92" t="s">
        <v>914</v>
      </c>
      <c r="AD212" s="92" t="s">
        <v>1115</v>
      </c>
      <c r="AE212" s="92"/>
      <c r="AF212" s="92"/>
    </row>
    <row r="213" spans="1:32" ht="12.75" customHeight="1">
      <c r="A213" s="92" t="s">
        <v>892</v>
      </c>
      <c r="B213" s="92" t="s">
        <v>62</v>
      </c>
      <c r="C213" s="92" t="s">
        <v>922</v>
      </c>
      <c r="D213" s="92"/>
      <c r="E213" s="92" t="s">
        <v>49</v>
      </c>
      <c r="F213" s="92"/>
      <c r="G213" s="263">
        <v>9882654</v>
      </c>
      <c r="H213" s="263">
        <v>18252113</v>
      </c>
      <c r="I213" s="156" t="s">
        <v>772</v>
      </c>
      <c r="J213" s="263">
        <v>6</v>
      </c>
      <c r="K213" s="263">
        <v>21</v>
      </c>
      <c r="L213" s="96">
        <v>-1812200</v>
      </c>
      <c r="M213" s="100">
        <v>44377</v>
      </c>
      <c r="N213" s="100">
        <v>44377</v>
      </c>
      <c r="O213" s="100">
        <v>44332</v>
      </c>
      <c r="P213" s="92" t="s">
        <v>1827</v>
      </c>
      <c r="Q213" s="92" t="s">
        <v>1825</v>
      </c>
      <c r="R213" s="92"/>
      <c r="S213" s="92">
        <v>0</v>
      </c>
      <c r="T213" s="92" t="s">
        <v>1828</v>
      </c>
      <c r="U213" s="92"/>
      <c r="V213" s="92"/>
      <c r="W213" s="92" t="s">
        <v>1251</v>
      </c>
      <c r="X213" s="92"/>
      <c r="Y213" s="92" t="s">
        <v>606</v>
      </c>
      <c r="Z213" s="92" t="s">
        <v>770</v>
      </c>
      <c r="AA213" s="92" t="s">
        <v>1469</v>
      </c>
      <c r="AB213" s="92" t="s">
        <v>778</v>
      </c>
      <c r="AC213" s="92" t="s">
        <v>914</v>
      </c>
      <c r="AD213" s="92" t="s">
        <v>1119</v>
      </c>
      <c r="AE213" s="92"/>
      <c r="AF213" s="92"/>
    </row>
    <row r="214" spans="1:32" ht="12.75" customHeight="1">
      <c r="A214" s="92" t="s">
        <v>892</v>
      </c>
      <c r="B214" s="92" t="s">
        <v>62</v>
      </c>
      <c r="C214" s="92" t="s">
        <v>922</v>
      </c>
      <c r="D214" s="92"/>
      <c r="E214" s="92" t="s">
        <v>49</v>
      </c>
      <c r="F214" s="92"/>
      <c r="G214" s="263">
        <v>9882654</v>
      </c>
      <c r="H214" s="263">
        <v>18252113</v>
      </c>
      <c r="I214" s="156" t="s">
        <v>772</v>
      </c>
      <c r="J214" s="263">
        <v>6</v>
      </c>
      <c r="K214" s="263">
        <v>21</v>
      </c>
      <c r="L214" s="96">
        <v>-130650</v>
      </c>
      <c r="M214" s="100">
        <v>44377</v>
      </c>
      <c r="N214" s="100">
        <v>44377</v>
      </c>
      <c r="O214" s="100">
        <v>44332</v>
      </c>
      <c r="P214" s="92" t="s">
        <v>1829</v>
      </c>
      <c r="Q214" s="92" t="s">
        <v>1825</v>
      </c>
      <c r="R214" s="92"/>
      <c r="S214" s="92">
        <v>0</v>
      </c>
      <c r="T214" s="92" t="s">
        <v>1830</v>
      </c>
      <c r="U214" s="92"/>
      <c r="V214" s="92"/>
      <c r="W214" s="92" t="s">
        <v>1251</v>
      </c>
      <c r="X214" s="92"/>
      <c r="Y214" s="92" t="s">
        <v>606</v>
      </c>
      <c r="Z214" s="92" t="s">
        <v>770</v>
      </c>
      <c r="AA214" s="92" t="s">
        <v>1469</v>
      </c>
      <c r="AB214" s="92" t="s">
        <v>778</v>
      </c>
      <c r="AC214" s="92" t="s">
        <v>914</v>
      </c>
      <c r="AD214" s="92" t="s">
        <v>1120</v>
      </c>
      <c r="AE214" s="92"/>
      <c r="AF214" s="92"/>
    </row>
    <row r="215" spans="1:32" ht="12.75" customHeight="1">
      <c r="A215" s="92" t="s">
        <v>892</v>
      </c>
      <c r="B215" s="92" t="s">
        <v>62</v>
      </c>
      <c r="C215" s="92" t="s">
        <v>922</v>
      </c>
      <c r="D215" s="92"/>
      <c r="E215" s="92" t="s">
        <v>49</v>
      </c>
      <c r="F215" s="92"/>
      <c r="G215" s="263">
        <v>9882654</v>
      </c>
      <c r="H215" s="263">
        <v>18252113</v>
      </c>
      <c r="I215" s="156" t="s">
        <v>772</v>
      </c>
      <c r="J215" s="263">
        <v>6</v>
      </c>
      <c r="K215" s="263">
        <v>21</v>
      </c>
      <c r="L215" s="96">
        <v>-442500</v>
      </c>
      <c r="M215" s="100">
        <v>44377</v>
      </c>
      <c r="N215" s="100">
        <v>44377</v>
      </c>
      <c r="O215" s="100">
        <v>44332</v>
      </c>
      <c r="P215" s="92" t="s">
        <v>1831</v>
      </c>
      <c r="Q215" s="92" t="s">
        <v>1825</v>
      </c>
      <c r="R215" s="92"/>
      <c r="S215" s="92">
        <v>0</v>
      </c>
      <c r="T215" s="92" t="s">
        <v>1832</v>
      </c>
      <c r="U215" s="92"/>
      <c r="V215" s="92"/>
      <c r="W215" s="92" t="s">
        <v>1251</v>
      </c>
      <c r="X215" s="92"/>
      <c r="Y215" s="92" t="s">
        <v>606</v>
      </c>
      <c r="Z215" s="92" t="s">
        <v>770</v>
      </c>
      <c r="AA215" s="92" t="s">
        <v>1469</v>
      </c>
      <c r="AB215" s="92" t="s">
        <v>778</v>
      </c>
      <c r="AC215" s="92" t="s">
        <v>914</v>
      </c>
      <c r="AD215" s="92" t="s">
        <v>1833</v>
      </c>
      <c r="AE215" s="92"/>
      <c r="AF215" s="92"/>
    </row>
    <row r="216" spans="1:32" ht="12.75" customHeight="1">
      <c r="A216" s="92" t="s">
        <v>892</v>
      </c>
      <c r="B216" s="92" t="s">
        <v>62</v>
      </c>
      <c r="C216" s="92" t="s">
        <v>922</v>
      </c>
      <c r="D216" s="92"/>
      <c r="E216" s="92" t="s">
        <v>49</v>
      </c>
      <c r="F216" s="92"/>
      <c r="G216" s="263">
        <v>9884845</v>
      </c>
      <c r="H216" s="263">
        <v>18261728</v>
      </c>
      <c r="I216" s="156" t="s">
        <v>772</v>
      </c>
      <c r="J216" s="263">
        <v>6</v>
      </c>
      <c r="K216" s="263">
        <v>21</v>
      </c>
      <c r="L216" s="96">
        <v>-1125000</v>
      </c>
      <c r="M216" s="100">
        <v>44335</v>
      </c>
      <c r="N216" s="100">
        <v>44377</v>
      </c>
      <c r="O216" s="100">
        <v>44335</v>
      </c>
      <c r="P216" s="92" t="s">
        <v>1834</v>
      </c>
      <c r="Q216" s="92" t="s">
        <v>1835</v>
      </c>
      <c r="R216" s="92"/>
      <c r="S216" s="92">
        <v>0</v>
      </c>
      <c r="T216" s="92" t="s">
        <v>1689</v>
      </c>
      <c r="U216" s="92"/>
      <c r="V216" s="92"/>
      <c r="W216" s="92" t="s">
        <v>1251</v>
      </c>
      <c r="X216" s="92"/>
      <c r="Y216" s="92" t="s">
        <v>606</v>
      </c>
      <c r="Z216" s="92" t="s">
        <v>770</v>
      </c>
      <c r="AA216" s="92" t="s">
        <v>1469</v>
      </c>
      <c r="AB216" s="92" t="s">
        <v>778</v>
      </c>
      <c r="AC216" s="92" t="s">
        <v>914</v>
      </c>
      <c r="AD216" s="92" t="s">
        <v>1685</v>
      </c>
      <c r="AE216" s="92"/>
      <c r="AF216" s="92"/>
    </row>
    <row r="217" spans="1:32" ht="12.75" customHeight="1">
      <c r="A217" s="92" t="s">
        <v>892</v>
      </c>
      <c r="B217" s="92" t="s">
        <v>62</v>
      </c>
      <c r="C217" s="92" t="s">
        <v>922</v>
      </c>
      <c r="D217" s="92"/>
      <c r="E217" s="92" t="s">
        <v>49</v>
      </c>
      <c r="F217" s="92"/>
      <c r="G217" s="263">
        <v>9884845</v>
      </c>
      <c r="H217" s="263">
        <v>18261728</v>
      </c>
      <c r="I217" s="156" t="s">
        <v>772</v>
      </c>
      <c r="J217" s="263">
        <v>6</v>
      </c>
      <c r="K217" s="263">
        <v>21</v>
      </c>
      <c r="L217" s="96">
        <v>-50000</v>
      </c>
      <c r="M217" s="100">
        <v>44335</v>
      </c>
      <c r="N217" s="100">
        <v>44377</v>
      </c>
      <c r="O217" s="100">
        <v>44335</v>
      </c>
      <c r="P217" s="92" t="s">
        <v>1836</v>
      </c>
      <c r="Q217" s="92" t="s">
        <v>1835</v>
      </c>
      <c r="R217" s="92"/>
      <c r="S217" s="92">
        <v>0</v>
      </c>
      <c r="T217" s="92" t="s">
        <v>1758</v>
      </c>
      <c r="U217" s="92"/>
      <c r="V217" s="92"/>
      <c r="W217" s="92" t="s">
        <v>1251</v>
      </c>
      <c r="X217" s="92"/>
      <c r="Y217" s="92" t="s">
        <v>606</v>
      </c>
      <c r="Z217" s="92" t="s">
        <v>770</v>
      </c>
      <c r="AA217" s="92" t="s">
        <v>1469</v>
      </c>
      <c r="AB217" s="92" t="s">
        <v>778</v>
      </c>
      <c r="AC217" s="92" t="s">
        <v>914</v>
      </c>
      <c r="AD217" s="92" t="s">
        <v>1759</v>
      </c>
      <c r="AE217" s="92"/>
      <c r="AF217" s="92"/>
    </row>
    <row r="218" spans="1:32" ht="12.75" customHeight="1">
      <c r="A218" s="92" t="s">
        <v>892</v>
      </c>
      <c r="B218" s="92" t="s">
        <v>62</v>
      </c>
      <c r="C218" s="92" t="s">
        <v>922</v>
      </c>
      <c r="D218" s="92"/>
      <c r="E218" s="92" t="s">
        <v>49</v>
      </c>
      <c r="F218" s="92"/>
      <c r="G218" s="263">
        <v>9884897</v>
      </c>
      <c r="H218" s="263">
        <v>18262683</v>
      </c>
      <c r="I218" s="156" t="s">
        <v>772</v>
      </c>
      <c r="J218" s="263">
        <v>6</v>
      </c>
      <c r="K218" s="263">
        <v>21</v>
      </c>
      <c r="L218" s="96">
        <v>-25000</v>
      </c>
      <c r="M218" s="100">
        <v>44377</v>
      </c>
      <c r="N218" s="100">
        <v>44377</v>
      </c>
      <c r="O218" s="100">
        <v>44335</v>
      </c>
      <c r="P218" s="92" t="s">
        <v>1837</v>
      </c>
      <c r="Q218" s="92" t="s">
        <v>1838</v>
      </c>
      <c r="R218" s="92"/>
      <c r="S218" s="92">
        <v>0</v>
      </c>
      <c r="T218" s="92" t="s">
        <v>1839</v>
      </c>
      <c r="U218" s="92"/>
      <c r="V218" s="92"/>
      <c r="W218" s="92" t="s">
        <v>1251</v>
      </c>
      <c r="X218" s="92"/>
      <c r="Y218" s="92" t="s">
        <v>606</v>
      </c>
      <c r="Z218" s="92" t="s">
        <v>770</v>
      </c>
      <c r="AA218" s="92" t="s">
        <v>1469</v>
      </c>
      <c r="AB218" s="92" t="s">
        <v>778</v>
      </c>
      <c r="AC218" s="92" t="s">
        <v>914</v>
      </c>
      <c r="AD218" s="92" t="s">
        <v>1840</v>
      </c>
      <c r="AE218" s="92"/>
      <c r="AF218" s="92"/>
    </row>
    <row r="219" spans="1:32" ht="12.75" customHeight="1">
      <c r="A219" s="92" t="s">
        <v>892</v>
      </c>
      <c r="B219" s="92" t="s">
        <v>62</v>
      </c>
      <c r="C219" s="92" t="s">
        <v>922</v>
      </c>
      <c r="D219" s="92"/>
      <c r="E219" s="92" t="s">
        <v>49</v>
      </c>
      <c r="F219" s="92"/>
      <c r="G219" s="263">
        <v>9887453</v>
      </c>
      <c r="H219" s="263">
        <v>18266461</v>
      </c>
      <c r="I219" s="156" t="s">
        <v>772</v>
      </c>
      <c r="J219" s="263">
        <v>6</v>
      </c>
      <c r="K219" s="263">
        <v>21</v>
      </c>
      <c r="L219" s="96">
        <v>1125000</v>
      </c>
      <c r="M219" s="100">
        <v>44377</v>
      </c>
      <c r="N219" s="100">
        <v>44377</v>
      </c>
      <c r="O219" s="100">
        <v>44341</v>
      </c>
      <c r="P219" s="92" t="s">
        <v>1841</v>
      </c>
      <c r="Q219" s="92" t="s">
        <v>1842</v>
      </c>
      <c r="R219" s="92"/>
      <c r="S219" s="92">
        <v>0</v>
      </c>
      <c r="T219" s="92" t="s">
        <v>1689</v>
      </c>
      <c r="U219" s="92"/>
      <c r="V219" s="92"/>
      <c r="W219" s="92" t="s">
        <v>1251</v>
      </c>
      <c r="X219" s="92"/>
      <c r="Y219" s="92" t="s">
        <v>606</v>
      </c>
      <c r="Z219" s="92" t="s">
        <v>770</v>
      </c>
      <c r="AA219" s="92" t="s">
        <v>1469</v>
      </c>
      <c r="AB219" s="92" t="s">
        <v>778</v>
      </c>
      <c r="AC219" s="92" t="s">
        <v>914</v>
      </c>
      <c r="AD219" s="92" t="s">
        <v>1685</v>
      </c>
      <c r="AE219" s="92"/>
      <c r="AF219" s="92"/>
    </row>
    <row r="220" spans="1:32" ht="12.75" customHeight="1">
      <c r="A220" s="92" t="s">
        <v>892</v>
      </c>
      <c r="B220" s="92" t="s">
        <v>62</v>
      </c>
      <c r="C220" s="92" t="s">
        <v>922</v>
      </c>
      <c r="D220" s="92"/>
      <c r="E220" s="92" t="s">
        <v>49</v>
      </c>
      <c r="F220" s="92"/>
      <c r="G220" s="263">
        <v>9887453</v>
      </c>
      <c r="H220" s="263">
        <v>18266461</v>
      </c>
      <c r="I220" s="156" t="s">
        <v>772</v>
      </c>
      <c r="J220" s="263">
        <v>6</v>
      </c>
      <c r="K220" s="263">
        <v>21</v>
      </c>
      <c r="L220" s="96">
        <v>-1125000</v>
      </c>
      <c r="M220" s="100">
        <v>44377</v>
      </c>
      <c r="N220" s="100">
        <v>44377</v>
      </c>
      <c r="O220" s="100">
        <v>44341</v>
      </c>
      <c r="P220" s="92" t="s">
        <v>1834</v>
      </c>
      <c r="Q220" s="92" t="s">
        <v>1842</v>
      </c>
      <c r="R220" s="92"/>
      <c r="S220" s="92">
        <v>0</v>
      </c>
      <c r="T220" s="92" t="s">
        <v>1689</v>
      </c>
      <c r="U220" s="92"/>
      <c r="V220" s="92"/>
      <c r="W220" s="92" t="s">
        <v>1251</v>
      </c>
      <c r="X220" s="92"/>
      <c r="Y220" s="92" t="s">
        <v>606</v>
      </c>
      <c r="Z220" s="92" t="s">
        <v>770</v>
      </c>
      <c r="AA220" s="92" t="s">
        <v>1469</v>
      </c>
      <c r="AB220" s="92" t="s">
        <v>778</v>
      </c>
      <c r="AC220" s="92" t="s">
        <v>914</v>
      </c>
      <c r="AD220" s="92" t="s">
        <v>1843</v>
      </c>
      <c r="AE220" s="92"/>
      <c r="AF220" s="92"/>
    </row>
    <row r="221" spans="1:32" ht="12.75" customHeight="1">
      <c r="A221" s="92" t="s">
        <v>892</v>
      </c>
      <c r="B221" s="92" t="s">
        <v>62</v>
      </c>
      <c r="C221" s="92" t="s">
        <v>922</v>
      </c>
      <c r="D221" s="92"/>
      <c r="E221" s="92" t="s">
        <v>49</v>
      </c>
      <c r="F221" s="92"/>
      <c r="G221" s="263">
        <v>9888410</v>
      </c>
      <c r="H221" s="263">
        <v>18266656</v>
      </c>
      <c r="I221" s="156" t="s">
        <v>772</v>
      </c>
      <c r="J221" s="263">
        <v>6</v>
      </c>
      <c r="K221" s="263">
        <v>21</v>
      </c>
      <c r="L221" s="96">
        <v>436590</v>
      </c>
      <c r="M221" s="100">
        <v>44343</v>
      </c>
      <c r="N221" s="100">
        <v>44377</v>
      </c>
      <c r="O221" s="100">
        <v>44343</v>
      </c>
      <c r="P221" s="92" t="s">
        <v>1963</v>
      </c>
      <c r="Q221" s="92" t="s">
        <v>1964</v>
      </c>
      <c r="R221" s="92"/>
      <c r="S221" s="92">
        <v>0</v>
      </c>
      <c r="T221" s="92" t="s">
        <v>1826</v>
      </c>
      <c r="U221" s="92"/>
      <c r="V221" s="92"/>
      <c r="W221" s="92" t="s">
        <v>1251</v>
      </c>
      <c r="X221" s="92"/>
      <c r="Y221" s="92" t="s">
        <v>606</v>
      </c>
      <c r="Z221" s="92" t="s">
        <v>770</v>
      </c>
      <c r="AA221" s="92" t="s">
        <v>1469</v>
      </c>
      <c r="AB221" s="92" t="s">
        <v>778</v>
      </c>
      <c r="AC221" s="92" t="s">
        <v>914</v>
      </c>
      <c r="AD221" s="92" t="s">
        <v>1115</v>
      </c>
      <c r="AE221" s="92"/>
      <c r="AF221" s="92"/>
    </row>
    <row r="222" spans="1:32" ht="12.75" customHeight="1">
      <c r="A222" s="92" t="s">
        <v>892</v>
      </c>
      <c r="B222" s="92" t="s">
        <v>62</v>
      </c>
      <c r="C222" s="92" t="s">
        <v>922</v>
      </c>
      <c r="D222" s="92"/>
      <c r="E222" s="92" t="s">
        <v>49</v>
      </c>
      <c r="F222" s="92"/>
      <c r="G222" s="263">
        <v>9888410</v>
      </c>
      <c r="H222" s="263">
        <v>18266656</v>
      </c>
      <c r="I222" s="156" t="s">
        <v>772</v>
      </c>
      <c r="J222" s="263">
        <v>6</v>
      </c>
      <c r="K222" s="263">
        <v>21</v>
      </c>
      <c r="L222" s="96">
        <v>1812200</v>
      </c>
      <c r="M222" s="100">
        <v>44343</v>
      </c>
      <c r="N222" s="100">
        <v>44377</v>
      </c>
      <c r="O222" s="100">
        <v>44343</v>
      </c>
      <c r="P222" s="92" t="s">
        <v>1965</v>
      </c>
      <c r="Q222" s="92" t="s">
        <v>1964</v>
      </c>
      <c r="R222" s="92"/>
      <c r="S222" s="92">
        <v>0</v>
      </c>
      <c r="T222" s="92" t="s">
        <v>1828</v>
      </c>
      <c r="U222" s="92"/>
      <c r="V222" s="92"/>
      <c r="W222" s="92" t="s">
        <v>1251</v>
      </c>
      <c r="X222" s="92"/>
      <c r="Y222" s="92" t="s">
        <v>606</v>
      </c>
      <c r="Z222" s="92" t="s">
        <v>770</v>
      </c>
      <c r="AA222" s="92" t="s">
        <v>1469</v>
      </c>
      <c r="AB222" s="92" t="s">
        <v>778</v>
      </c>
      <c r="AC222" s="92" t="s">
        <v>914</v>
      </c>
      <c r="AD222" s="92" t="s">
        <v>1119</v>
      </c>
      <c r="AE222" s="92"/>
      <c r="AF222" s="92"/>
    </row>
    <row r="223" spans="1:32" ht="12.75" customHeight="1">
      <c r="A223" s="92" t="s">
        <v>892</v>
      </c>
      <c r="B223" s="92" t="s">
        <v>62</v>
      </c>
      <c r="C223" s="92" t="s">
        <v>922</v>
      </c>
      <c r="D223" s="92"/>
      <c r="E223" s="92" t="s">
        <v>49</v>
      </c>
      <c r="F223" s="92"/>
      <c r="G223" s="263">
        <v>9888410</v>
      </c>
      <c r="H223" s="263">
        <v>18266656</v>
      </c>
      <c r="I223" s="156" t="s">
        <v>772</v>
      </c>
      <c r="J223" s="263">
        <v>6</v>
      </c>
      <c r="K223" s="263">
        <v>21</v>
      </c>
      <c r="L223" s="96">
        <v>130650</v>
      </c>
      <c r="M223" s="100">
        <v>44343</v>
      </c>
      <c r="N223" s="100">
        <v>44377</v>
      </c>
      <c r="O223" s="100">
        <v>44343</v>
      </c>
      <c r="P223" s="92" t="s">
        <v>1966</v>
      </c>
      <c r="Q223" s="92" t="s">
        <v>1964</v>
      </c>
      <c r="R223" s="92"/>
      <c r="S223" s="92">
        <v>0</v>
      </c>
      <c r="T223" s="92" t="s">
        <v>1830</v>
      </c>
      <c r="U223" s="92"/>
      <c r="V223" s="92"/>
      <c r="W223" s="92" t="s">
        <v>1251</v>
      </c>
      <c r="X223" s="92"/>
      <c r="Y223" s="92" t="s">
        <v>606</v>
      </c>
      <c r="Z223" s="92" t="s">
        <v>770</v>
      </c>
      <c r="AA223" s="92" t="s">
        <v>1469</v>
      </c>
      <c r="AB223" s="92" t="s">
        <v>778</v>
      </c>
      <c r="AC223" s="92" t="s">
        <v>914</v>
      </c>
      <c r="AD223" s="92" t="s">
        <v>1120</v>
      </c>
      <c r="AE223" s="92"/>
      <c r="AF223" s="92"/>
    </row>
    <row r="224" spans="1:32" ht="12.75" customHeight="1">
      <c r="A224" s="92" t="s">
        <v>892</v>
      </c>
      <c r="B224" s="92" t="s">
        <v>66</v>
      </c>
      <c r="C224" s="92" t="s">
        <v>922</v>
      </c>
      <c r="D224" s="92"/>
      <c r="E224" s="92" t="s">
        <v>49</v>
      </c>
      <c r="F224" s="92"/>
      <c r="G224" s="263">
        <v>9885527</v>
      </c>
      <c r="H224" s="263">
        <v>18262874</v>
      </c>
      <c r="I224" s="156" t="s">
        <v>772</v>
      </c>
      <c r="J224" s="263">
        <v>6</v>
      </c>
      <c r="K224" s="263">
        <v>21</v>
      </c>
      <c r="L224" s="96">
        <v>92625</v>
      </c>
      <c r="M224" s="100">
        <v>44377</v>
      </c>
      <c r="N224" s="100">
        <v>44377</v>
      </c>
      <c r="O224" s="100">
        <v>44336</v>
      </c>
      <c r="P224" s="92" t="s">
        <v>1844</v>
      </c>
      <c r="Q224" s="92" t="s">
        <v>1845</v>
      </c>
      <c r="R224" s="92"/>
      <c r="S224" s="92">
        <v>0</v>
      </c>
      <c r="T224" s="92" t="s">
        <v>1396</v>
      </c>
      <c r="U224" s="92"/>
      <c r="V224" s="92"/>
      <c r="W224" s="92"/>
      <c r="X224" s="92"/>
      <c r="Y224" s="92" t="s">
        <v>606</v>
      </c>
      <c r="Z224" s="92" t="s">
        <v>770</v>
      </c>
      <c r="AA224" s="92" t="s">
        <v>1285</v>
      </c>
      <c r="AB224" s="92" t="s">
        <v>778</v>
      </c>
      <c r="AC224" s="92" t="s">
        <v>783</v>
      </c>
      <c r="AD224" s="92" t="s">
        <v>1397</v>
      </c>
      <c r="AE224" s="92"/>
      <c r="AF224" s="92"/>
    </row>
    <row r="225" spans="1:32" ht="12.75" customHeight="1">
      <c r="A225" s="92" t="s">
        <v>892</v>
      </c>
      <c r="B225" s="92" t="s">
        <v>727</v>
      </c>
      <c r="C225" s="92" t="s">
        <v>922</v>
      </c>
      <c r="D225" s="92"/>
      <c r="E225" s="92" t="s">
        <v>49</v>
      </c>
      <c r="F225" s="92"/>
      <c r="G225" s="263">
        <v>9883418</v>
      </c>
      <c r="H225" s="263">
        <v>18256414</v>
      </c>
      <c r="I225" s="156" t="s">
        <v>772</v>
      </c>
      <c r="J225" s="263">
        <v>6</v>
      </c>
      <c r="K225" s="263">
        <v>21</v>
      </c>
      <c r="L225" s="96">
        <v>-37500</v>
      </c>
      <c r="M225" s="100">
        <v>44377</v>
      </c>
      <c r="N225" s="100">
        <v>44377</v>
      </c>
      <c r="O225" s="100">
        <v>44333</v>
      </c>
      <c r="P225" s="92" t="s">
        <v>1846</v>
      </c>
      <c r="Q225" s="92" t="s">
        <v>1825</v>
      </c>
      <c r="R225" s="92"/>
      <c r="S225" s="92">
        <v>0</v>
      </c>
      <c r="T225" s="92" t="s">
        <v>1967</v>
      </c>
      <c r="U225" s="92"/>
      <c r="V225" s="92"/>
      <c r="W225" s="92" t="s">
        <v>1251</v>
      </c>
      <c r="X225" s="92"/>
      <c r="Y225" s="92" t="s">
        <v>606</v>
      </c>
      <c r="Z225" s="92" t="s">
        <v>770</v>
      </c>
      <c r="AA225" s="92" t="s">
        <v>1469</v>
      </c>
      <c r="AB225" s="92" t="s">
        <v>778</v>
      </c>
      <c r="AC225" s="92" t="s">
        <v>928</v>
      </c>
      <c r="AD225" s="92" t="s">
        <v>1141</v>
      </c>
      <c r="AE225" s="92"/>
      <c r="AF225" s="92"/>
    </row>
    <row r="226" spans="1:32" ht="12.75" customHeight="1">
      <c r="A226" s="92" t="s">
        <v>892</v>
      </c>
      <c r="B226" s="92" t="s">
        <v>727</v>
      </c>
      <c r="C226" s="92" t="s">
        <v>922</v>
      </c>
      <c r="D226" s="92"/>
      <c r="E226" s="92" t="s">
        <v>49</v>
      </c>
      <c r="F226" s="92"/>
      <c r="G226" s="263">
        <v>9884898</v>
      </c>
      <c r="H226" s="263">
        <v>18262684</v>
      </c>
      <c r="I226" s="156" t="s">
        <v>772</v>
      </c>
      <c r="J226" s="263">
        <v>6</v>
      </c>
      <c r="K226" s="263">
        <v>21</v>
      </c>
      <c r="L226" s="96">
        <v>-200000</v>
      </c>
      <c r="M226" s="100">
        <v>44377</v>
      </c>
      <c r="N226" s="100">
        <v>44377</v>
      </c>
      <c r="O226" s="100">
        <v>44335</v>
      </c>
      <c r="P226" s="92" t="s">
        <v>1847</v>
      </c>
      <c r="Q226" s="92" t="s">
        <v>1838</v>
      </c>
      <c r="R226" s="92"/>
      <c r="S226" s="92">
        <v>0</v>
      </c>
      <c r="T226" s="92" t="s">
        <v>1848</v>
      </c>
      <c r="U226" s="92"/>
      <c r="V226" s="92"/>
      <c r="W226" s="92" t="s">
        <v>1251</v>
      </c>
      <c r="X226" s="92"/>
      <c r="Y226" s="92" t="s">
        <v>606</v>
      </c>
      <c r="Z226" s="92" t="s">
        <v>770</v>
      </c>
      <c r="AA226" s="92" t="s">
        <v>1469</v>
      </c>
      <c r="AB226" s="92" t="s">
        <v>778</v>
      </c>
      <c r="AC226" s="92" t="s">
        <v>928</v>
      </c>
      <c r="AD226" s="92" t="s">
        <v>1849</v>
      </c>
      <c r="AE226" s="92"/>
      <c r="AF226" s="92"/>
    </row>
    <row r="227" spans="1:32" ht="12.75" customHeight="1">
      <c r="A227" s="92" t="s">
        <v>892</v>
      </c>
      <c r="B227" s="92" t="s">
        <v>727</v>
      </c>
      <c r="C227" s="92" t="s">
        <v>922</v>
      </c>
      <c r="D227" s="92"/>
      <c r="E227" s="92" t="s">
        <v>49</v>
      </c>
      <c r="F227" s="92"/>
      <c r="G227" s="263">
        <v>9884898</v>
      </c>
      <c r="H227" s="263">
        <v>18262684</v>
      </c>
      <c r="I227" s="156" t="s">
        <v>772</v>
      </c>
      <c r="J227" s="263">
        <v>6</v>
      </c>
      <c r="K227" s="263">
        <v>21</v>
      </c>
      <c r="L227" s="96">
        <v>-212040</v>
      </c>
      <c r="M227" s="100">
        <v>44377</v>
      </c>
      <c r="N227" s="100">
        <v>44377</v>
      </c>
      <c r="O227" s="100">
        <v>44335</v>
      </c>
      <c r="P227" s="92" t="s">
        <v>1850</v>
      </c>
      <c r="Q227" s="92" t="s">
        <v>1838</v>
      </c>
      <c r="R227" s="92"/>
      <c r="S227" s="92">
        <v>0</v>
      </c>
      <c r="T227" s="92" t="s">
        <v>1851</v>
      </c>
      <c r="U227" s="92"/>
      <c r="V227" s="92"/>
      <c r="W227" s="92" t="s">
        <v>1251</v>
      </c>
      <c r="X227" s="92"/>
      <c r="Y227" s="92" t="s">
        <v>606</v>
      </c>
      <c r="Z227" s="92" t="s">
        <v>770</v>
      </c>
      <c r="AA227" s="92" t="s">
        <v>1469</v>
      </c>
      <c r="AB227" s="92" t="s">
        <v>778</v>
      </c>
      <c r="AC227" s="92" t="s">
        <v>928</v>
      </c>
      <c r="AD227" s="92" t="s">
        <v>1852</v>
      </c>
      <c r="AE227" s="92"/>
      <c r="AF227" s="92"/>
    </row>
    <row r="228" spans="1:32" ht="12.75" customHeight="1">
      <c r="A228" s="92" t="s">
        <v>620</v>
      </c>
      <c r="B228" s="92" t="s">
        <v>71</v>
      </c>
      <c r="C228" s="92" t="s">
        <v>922</v>
      </c>
      <c r="D228" s="92"/>
      <c r="E228" s="92" t="s">
        <v>923</v>
      </c>
      <c r="F228" s="92"/>
      <c r="G228" s="263">
        <v>9889176</v>
      </c>
      <c r="H228" s="263">
        <v>18267367</v>
      </c>
      <c r="I228" s="156" t="s">
        <v>924</v>
      </c>
      <c r="J228" s="263">
        <v>6</v>
      </c>
      <c r="K228" s="263">
        <v>21</v>
      </c>
      <c r="L228" s="96">
        <v>12000</v>
      </c>
      <c r="M228" s="100">
        <v>44377</v>
      </c>
      <c r="N228" s="100">
        <v>44377</v>
      </c>
      <c r="O228" s="100">
        <v>44348</v>
      </c>
      <c r="P228" s="92" t="s">
        <v>1968</v>
      </c>
      <c r="Q228" s="92" t="s">
        <v>1217</v>
      </c>
      <c r="R228" s="92"/>
      <c r="S228" s="92">
        <v>0</v>
      </c>
      <c r="T228" s="92" t="s">
        <v>1969</v>
      </c>
      <c r="U228" s="92"/>
      <c r="V228" s="92"/>
      <c r="W228" s="92"/>
      <c r="X228" s="92"/>
      <c r="Y228" s="92" t="s">
        <v>606</v>
      </c>
      <c r="Z228" s="92" t="s">
        <v>770</v>
      </c>
      <c r="AA228" s="92" t="s">
        <v>1041</v>
      </c>
      <c r="AB228" s="92" t="s">
        <v>1891</v>
      </c>
      <c r="AC228" s="92" t="s">
        <v>910</v>
      </c>
      <c r="AD228" s="92" t="s">
        <v>1970</v>
      </c>
      <c r="AE228" s="92"/>
      <c r="AF228" s="92"/>
    </row>
    <row r="229" spans="1:32" ht="12.75" customHeight="1">
      <c r="A229" s="92" t="s">
        <v>620</v>
      </c>
      <c r="B229" s="92" t="s">
        <v>71</v>
      </c>
      <c r="C229" s="92" t="s">
        <v>922</v>
      </c>
      <c r="D229" s="92"/>
      <c r="E229" s="92" t="s">
        <v>49</v>
      </c>
      <c r="F229" s="92" t="s">
        <v>652</v>
      </c>
      <c r="G229" s="263">
        <v>9884047</v>
      </c>
      <c r="H229" s="263">
        <v>18259995</v>
      </c>
      <c r="I229" s="156" t="s">
        <v>772</v>
      </c>
      <c r="J229" s="263">
        <v>6</v>
      </c>
      <c r="K229" s="263">
        <v>21</v>
      </c>
      <c r="L229" s="96">
        <v>-20000</v>
      </c>
      <c r="M229" s="100">
        <v>44377</v>
      </c>
      <c r="N229" s="100">
        <v>44377</v>
      </c>
      <c r="O229" s="100">
        <v>44334</v>
      </c>
      <c r="P229" s="92" t="s">
        <v>1853</v>
      </c>
      <c r="Q229" s="92" t="s">
        <v>1854</v>
      </c>
      <c r="R229" s="92"/>
      <c r="S229" s="92">
        <v>0</v>
      </c>
      <c r="T229" s="92" t="s">
        <v>1971</v>
      </c>
      <c r="U229" s="92"/>
      <c r="V229" s="92"/>
      <c r="W229" s="92"/>
      <c r="X229" s="92"/>
      <c r="Y229" s="92" t="s">
        <v>606</v>
      </c>
      <c r="Z229" s="92" t="s">
        <v>770</v>
      </c>
      <c r="AA229" s="92" t="s">
        <v>1855</v>
      </c>
      <c r="AB229" s="92" t="s">
        <v>778</v>
      </c>
      <c r="AC229" s="92" t="s">
        <v>910</v>
      </c>
      <c r="AD229" s="92"/>
      <c r="AE229" s="92"/>
      <c r="AF229" s="92"/>
    </row>
    <row r="230" spans="1:32" ht="12.75" customHeight="1">
      <c r="A230" s="92" t="s">
        <v>620</v>
      </c>
      <c r="B230" s="92" t="s">
        <v>71</v>
      </c>
      <c r="C230" s="92" t="s">
        <v>922</v>
      </c>
      <c r="D230" s="92"/>
      <c r="E230" s="92" t="s">
        <v>49</v>
      </c>
      <c r="F230" s="92"/>
      <c r="G230" s="263">
        <v>9888768</v>
      </c>
      <c r="H230" s="263">
        <v>18266956</v>
      </c>
      <c r="I230" s="156" t="s">
        <v>772</v>
      </c>
      <c r="J230" s="263">
        <v>6</v>
      </c>
      <c r="K230" s="263">
        <v>21</v>
      </c>
      <c r="L230" s="96">
        <v>20000</v>
      </c>
      <c r="M230" s="100">
        <v>44377</v>
      </c>
      <c r="N230" s="100">
        <v>44377</v>
      </c>
      <c r="O230" s="100">
        <v>44344</v>
      </c>
      <c r="P230" s="92" t="s">
        <v>1972</v>
      </c>
      <c r="Q230" s="92" t="s">
        <v>1973</v>
      </c>
      <c r="R230" s="92"/>
      <c r="S230" s="92">
        <v>0</v>
      </c>
      <c r="T230" s="92" t="s">
        <v>1974</v>
      </c>
      <c r="U230" s="92"/>
      <c r="V230" s="92"/>
      <c r="W230" s="92"/>
      <c r="X230" s="92"/>
      <c r="Y230" s="92" t="s">
        <v>606</v>
      </c>
      <c r="Z230" s="92" t="s">
        <v>770</v>
      </c>
      <c r="AA230" s="92" t="s">
        <v>1855</v>
      </c>
      <c r="AB230" s="92" t="s">
        <v>1298</v>
      </c>
      <c r="AC230" s="92" t="s">
        <v>910</v>
      </c>
      <c r="AD230" s="92"/>
      <c r="AE230" s="92"/>
      <c r="AF230" s="92"/>
    </row>
    <row r="231" spans="1:32" ht="12.75" customHeight="1">
      <c r="A231" s="92" t="s">
        <v>620</v>
      </c>
      <c r="B231" s="92" t="s">
        <v>68</v>
      </c>
      <c r="C231" s="92" t="s">
        <v>922</v>
      </c>
      <c r="D231" s="92"/>
      <c r="E231" s="92" t="s">
        <v>49</v>
      </c>
      <c r="F231" s="92"/>
      <c r="G231" s="263">
        <v>9884170</v>
      </c>
      <c r="H231" s="263">
        <v>18260173</v>
      </c>
      <c r="I231" s="156" t="s">
        <v>772</v>
      </c>
      <c r="J231" s="263">
        <v>6</v>
      </c>
      <c r="K231" s="263">
        <v>21</v>
      </c>
      <c r="L231" s="96">
        <v>-65000</v>
      </c>
      <c r="M231" s="100">
        <v>44377</v>
      </c>
      <c r="N231" s="100">
        <v>44377</v>
      </c>
      <c r="O231" s="100">
        <v>44334</v>
      </c>
      <c r="P231" s="92" t="s">
        <v>1856</v>
      </c>
      <c r="Q231" s="92" t="s">
        <v>1857</v>
      </c>
      <c r="R231" s="92"/>
      <c r="S231" s="92">
        <v>0</v>
      </c>
      <c r="T231" s="92" t="s">
        <v>1564</v>
      </c>
      <c r="U231" s="92"/>
      <c r="V231" s="92"/>
      <c r="W231" s="92"/>
      <c r="X231" s="92"/>
      <c r="Y231" s="92" t="s">
        <v>606</v>
      </c>
      <c r="Z231" s="92" t="s">
        <v>770</v>
      </c>
      <c r="AA231" s="92" t="s">
        <v>1346</v>
      </c>
      <c r="AB231" s="92" t="s">
        <v>1298</v>
      </c>
      <c r="AC231" s="92" t="s">
        <v>784</v>
      </c>
      <c r="AD231" s="92" t="s">
        <v>1565</v>
      </c>
      <c r="AE231" s="92"/>
      <c r="AF231" s="92"/>
    </row>
    <row r="232" spans="1:32" ht="12.75" customHeight="1">
      <c r="A232" s="92" t="s">
        <v>620</v>
      </c>
      <c r="B232" s="92" t="s">
        <v>68</v>
      </c>
      <c r="C232" s="92" t="s">
        <v>922</v>
      </c>
      <c r="D232" s="92"/>
      <c r="E232" s="92" t="s">
        <v>49</v>
      </c>
      <c r="F232" s="92"/>
      <c r="G232" s="263">
        <v>9884170</v>
      </c>
      <c r="H232" s="263">
        <v>18260173</v>
      </c>
      <c r="I232" s="156" t="s">
        <v>772</v>
      </c>
      <c r="J232" s="263">
        <v>6</v>
      </c>
      <c r="K232" s="263">
        <v>21</v>
      </c>
      <c r="L232" s="96">
        <v>-100000</v>
      </c>
      <c r="M232" s="100">
        <v>44377</v>
      </c>
      <c r="N232" s="100">
        <v>44377</v>
      </c>
      <c r="O232" s="100">
        <v>44334</v>
      </c>
      <c r="P232" s="92" t="s">
        <v>1858</v>
      </c>
      <c r="Q232" s="92" t="s">
        <v>1857</v>
      </c>
      <c r="R232" s="92"/>
      <c r="S232" s="92">
        <v>0</v>
      </c>
      <c r="T232" s="92" t="s">
        <v>1859</v>
      </c>
      <c r="U232" s="92"/>
      <c r="V232" s="92"/>
      <c r="W232" s="92"/>
      <c r="X232" s="92"/>
      <c r="Y232" s="92" t="s">
        <v>606</v>
      </c>
      <c r="Z232" s="92" t="s">
        <v>770</v>
      </c>
      <c r="AA232" s="92" t="s">
        <v>1346</v>
      </c>
      <c r="AB232" s="92" t="s">
        <v>1298</v>
      </c>
      <c r="AC232" s="92" t="s">
        <v>784</v>
      </c>
      <c r="AD232" s="92" t="s">
        <v>1860</v>
      </c>
      <c r="AE232" s="92"/>
      <c r="AF232" s="92"/>
    </row>
    <row r="233" spans="1:32" ht="12.75" customHeight="1">
      <c r="A233" s="92" t="s">
        <v>620</v>
      </c>
      <c r="B233" s="92" t="s">
        <v>68</v>
      </c>
      <c r="C233" s="92" t="s">
        <v>922</v>
      </c>
      <c r="D233" s="92"/>
      <c r="E233" s="92" t="s">
        <v>49</v>
      </c>
      <c r="F233" s="92"/>
      <c r="G233" s="263">
        <v>9884170</v>
      </c>
      <c r="H233" s="263">
        <v>18260173</v>
      </c>
      <c r="I233" s="156" t="s">
        <v>772</v>
      </c>
      <c r="J233" s="263">
        <v>6</v>
      </c>
      <c r="K233" s="263">
        <v>21</v>
      </c>
      <c r="L233" s="96">
        <v>-194310</v>
      </c>
      <c r="M233" s="100">
        <v>44377</v>
      </c>
      <c r="N233" s="100">
        <v>44377</v>
      </c>
      <c r="O233" s="100">
        <v>44334</v>
      </c>
      <c r="P233" s="92" t="s">
        <v>1861</v>
      </c>
      <c r="Q233" s="92" t="s">
        <v>1857</v>
      </c>
      <c r="R233" s="92"/>
      <c r="S233" s="92">
        <v>0</v>
      </c>
      <c r="T233" s="92" t="s">
        <v>1862</v>
      </c>
      <c r="U233" s="92"/>
      <c r="V233" s="92"/>
      <c r="W233" s="92"/>
      <c r="X233" s="92"/>
      <c r="Y233" s="92" t="s">
        <v>606</v>
      </c>
      <c r="Z233" s="92" t="s">
        <v>770</v>
      </c>
      <c r="AA233" s="92" t="s">
        <v>1346</v>
      </c>
      <c r="AB233" s="92" t="s">
        <v>1298</v>
      </c>
      <c r="AC233" s="92" t="s">
        <v>784</v>
      </c>
      <c r="AD233" s="92" t="s">
        <v>1863</v>
      </c>
      <c r="AE233" s="92"/>
      <c r="AF233" s="92"/>
    </row>
    <row r="234" spans="1:32" ht="12.75" customHeight="1">
      <c r="A234" s="92" t="s">
        <v>620</v>
      </c>
      <c r="B234" s="92" t="s">
        <v>59</v>
      </c>
      <c r="C234" s="92" t="s">
        <v>922</v>
      </c>
      <c r="D234" s="92"/>
      <c r="E234" s="92" t="s">
        <v>49</v>
      </c>
      <c r="F234" s="92" t="s">
        <v>652</v>
      </c>
      <c r="G234" s="263">
        <v>9884106</v>
      </c>
      <c r="H234" s="263">
        <v>18260068</v>
      </c>
      <c r="I234" s="156" t="s">
        <v>772</v>
      </c>
      <c r="J234" s="263">
        <v>6</v>
      </c>
      <c r="K234" s="263">
        <v>21</v>
      </c>
      <c r="L234" s="96">
        <v>-75000</v>
      </c>
      <c r="M234" s="100">
        <v>44377</v>
      </c>
      <c r="N234" s="100">
        <v>44377</v>
      </c>
      <c r="O234" s="100">
        <v>44334</v>
      </c>
      <c r="P234" s="92" t="s">
        <v>1864</v>
      </c>
      <c r="Q234" s="92" t="s">
        <v>1865</v>
      </c>
      <c r="R234" s="92"/>
      <c r="S234" s="92">
        <v>0</v>
      </c>
      <c r="T234" s="92" t="s">
        <v>1866</v>
      </c>
      <c r="U234" s="92"/>
      <c r="V234" s="92"/>
      <c r="W234" s="92"/>
      <c r="X234" s="92"/>
      <c r="Y234" s="92" t="s">
        <v>606</v>
      </c>
      <c r="Z234" s="92" t="s">
        <v>770</v>
      </c>
      <c r="AA234" s="92" t="s">
        <v>1855</v>
      </c>
      <c r="AB234" s="92" t="s">
        <v>778</v>
      </c>
      <c r="AC234" s="92" t="s">
        <v>909</v>
      </c>
      <c r="AD234" s="92"/>
      <c r="AE234" s="92"/>
      <c r="AF234" s="92"/>
    </row>
    <row r="235" spans="1:32" ht="12.75" customHeight="1">
      <c r="A235" s="92" t="s">
        <v>620</v>
      </c>
      <c r="B235" s="92" t="s">
        <v>59</v>
      </c>
      <c r="C235" s="92" t="s">
        <v>922</v>
      </c>
      <c r="D235" s="92"/>
      <c r="E235" s="92" t="s">
        <v>49</v>
      </c>
      <c r="F235" s="92"/>
      <c r="G235" s="263">
        <v>9888768</v>
      </c>
      <c r="H235" s="263">
        <v>18266956</v>
      </c>
      <c r="I235" s="156" t="s">
        <v>772</v>
      </c>
      <c r="J235" s="263">
        <v>6</v>
      </c>
      <c r="K235" s="263">
        <v>21</v>
      </c>
      <c r="L235" s="96">
        <v>37500</v>
      </c>
      <c r="M235" s="100">
        <v>44377</v>
      </c>
      <c r="N235" s="100">
        <v>44377</v>
      </c>
      <c r="O235" s="100">
        <v>44344</v>
      </c>
      <c r="P235" s="92" t="s">
        <v>1975</v>
      </c>
      <c r="Q235" s="92" t="s">
        <v>1973</v>
      </c>
      <c r="R235" s="92"/>
      <c r="S235" s="92">
        <v>0</v>
      </c>
      <c r="T235" s="92" t="s">
        <v>1866</v>
      </c>
      <c r="U235" s="92"/>
      <c r="V235" s="92"/>
      <c r="W235" s="92"/>
      <c r="X235" s="92"/>
      <c r="Y235" s="92" t="s">
        <v>606</v>
      </c>
      <c r="Z235" s="92" t="s">
        <v>770</v>
      </c>
      <c r="AA235" s="92" t="s">
        <v>1855</v>
      </c>
      <c r="AB235" s="92" t="s">
        <v>1298</v>
      </c>
      <c r="AC235" s="92" t="s">
        <v>909</v>
      </c>
      <c r="AD235" s="92"/>
      <c r="AE235" s="92"/>
      <c r="AF235" s="92"/>
    </row>
    <row r="236" spans="1:32" ht="12.75" customHeight="1">
      <c r="A236" s="92" t="s">
        <v>620</v>
      </c>
      <c r="B236" s="92" t="s">
        <v>60</v>
      </c>
      <c r="C236" s="92" t="s">
        <v>922</v>
      </c>
      <c r="D236" s="92"/>
      <c r="E236" s="92" t="s">
        <v>49</v>
      </c>
      <c r="F236" s="92"/>
      <c r="G236" s="263">
        <v>9884912</v>
      </c>
      <c r="H236" s="263">
        <v>18262696</v>
      </c>
      <c r="I236" s="156" t="s">
        <v>772</v>
      </c>
      <c r="J236" s="263">
        <v>6</v>
      </c>
      <c r="K236" s="263">
        <v>21</v>
      </c>
      <c r="L236" s="96">
        <v>-25000</v>
      </c>
      <c r="M236" s="100">
        <v>44377</v>
      </c>
      <c r="N236" s="100">
        <v>44377</v>
      </c>
      <c r="O236" s="100">
        <v>44335</v>
      </c>
      <c r="P236" s="92" t="s">
        <v>1867</v>
      </c>
      <c r="Q236" s="92" t="s">
        <v>1867</v>
      </c>
      <c r="R236" s="92"/>
      <c r="S236" s="92">
        <v>0</v>
      </c>
      <c r="T236" s="92" t="s">
        <v>1868</v>
      </c>
      <c r="U236" s="92"/>
      <c r="V236" s="92"/>
      <c r="W236" s="92"/>
      <c r="X236" s="92"/>
      <c r="Y236" s="92" t="s">
        <v>606</v>
      </c>
      <c r="Z236" s="92" t="s">
        <v>770</v>
      </c>
      <c r="AA236" s="92" t="s">
        <v>1346</v>
      </c>
      <c r="AB236" s="92" t="s">
        <v>1298</v>
      </c>
      <c r="AC236" s="92" t="s">
        <v>913</v>
      </c>
      <c r="AD236" s="92" t="s">
        <v>1707</v>
      </c>
      <c r="AE236" s="92"/>
      <c r="AF236" s="92"/>
    </row>
    <row r="237" spans="1:32" ht="12.75" customHeight="1">
      <c r="A237" s="92" t="s">
        <v>620</v>
      </c>
      <c r="B237" s="92" t="s">
        <v>60</v>
      </c>
      <c r="C237" s="92" t="s">
        <v>922</v>
      </c>
      <c r="D237" s="92"/>
      <c r="E237" s="92" t="s">
        <v>49</v>
      </c>
      <c r="F237" s="92" t="s">
        <v>652</v>
      </c>
      <c r="G237" s="263">
        <v>9885908</v>
      </c>
      <c r="H237" s="263">
        <v>18263007</v>
      </c>
      <c r="I237" s="156" t="s">
        <v>772</v>
      </c>
      <c r="J237" s="263">
        <v>6</v>
      </c>
      <c r="K237" s="263">
        <v>21</v>
      </c>
      <c r="L237" s="96">
        <v>-55000</v>
      </c>
      <c r="M237" s="100">
        <v>44377</v>
      </c>
      <c r="N237" s="100">
        <v>44377</v>
      </c>
      <c r="O237" s="100">
        <v>44337</v>
      </c>
      <c r="P237" s="92" t="s">
        <v>1869</v>
      </c>
      <c r="Q237" s="92" t="s">
        <v>1870</v>
      </c>
      <c r="R237" s="92"/>
      <c r="S237" s="92">
        <v>0</v>
      </c>
      <c r="T237" s="92" t="s">
        <v>1871</v>
      </c>
      <c r="U237" s="92"/>
      <c r="V237" s="92"/>
      <c r="W237" s="92"/>
      <c r="X237" s="92"/>
      <c r="Y237" s="92" t="s">
        <v>606</v>
      </c>
      <c r="Z237" s="92" t="s">
        <v>770</v>
      </c>
      <c r="AA237" s="92" t="s">
        <v>1346</v>
      </c>
      <c r="AB237" s="92" t="s">
        <v>778</v>
      </c>
      <c r="AC237" s="92" t="s">
        <v>913</v>
      </c>
      <c r="AD237" s="92" t="s">
        <v>1210</v>
      </c>
      <c r="AE237" s="92"/>
      <c r="AF237" s="92"/>
    </row>
    <row r="238" spans="1:32" ht="12.75" customHeight="1">
      <c r="A238" s="92" t="s">
        <v>620</v>
      </c>
      <c r="B238" s="92" t="s">
        <v>60</v>
      </c>
      <c r="C238" s="92" t="s">
        <v>922</v>
      </c>
      <c r="D238" s="92"/>
      <c r="E238" s="92" t="s">
        <v>49</v>
      </c>
      <c r="F238" s="92" t="s">
        <v>652</v>
      </c>
      <c r="G238" s="263">
        <v>9888641</v>
      </c>
      <c r="H238" s="263">
        <v>18266706</v>
      </c>
      <c r="I238" s="156" t="s">
        <v>772</v>
      </c>
      <c r="J238" s="263">
        <v>6</v>
      </c>
      <c r="K238" s="263">
        <v>21</v>
      </c>
      <c r="L238" s="96">
        <v>55000</v>
      </c>
      <c r="M238" s="100">
        <v>44377</v>
      </c>
      <c r="N238" s="100">
        <v>44377</v>
      </c>
      <c r="O238" s="100">
        <v>44344</v>
      </c>
      <c r="P238" s="92" t="s">
        <v>1976</v>
      </c>
      <c r="Q238" s="92" t="s">
        <v>1977</v>
      </c>
      <c r="R238" s="92"/>
      <c r="S238" s="92">
        <v>0</v>
      </c>
      <c r="T238" s="92" t="s">
        <v>1871</v>
      </c>
      <c r="U238" s="92"/>
      <c r="V238" s="92"/>
      <c r="W238" s="92"/>
      <c r="X238" s="92"/>
      <c r="Y238" s="92" t="s">
        <v>606</v>
      </c>
      <c r="Z238" s="92" t="s">
        <v>770</v>
      </c>
      <c r="AA238" s="92" t="s">
        <v>1346</v>
      </c>
      <c r="AB238" s="92" t="s">
        <v>1298</v>
      </c>
      <c r="AC238" s="92" t="s">
        <v>913</v>
      </c>
      <c r="AD238" s="92" t="s">
        <v>1210</v>
      </c>
      <c r="AE238" s="92"/>
      <c r="AF238" s="92"/>
    </row>
    <row r="239" spans="1:32" ht="12.75" customHeight="1">
      <c r="A239" s="92" t="s">
        <v>620</v>
      </c>
      <c r="B239" s="92" t="s">
        <v>55</v>
      </c>
      <c r="C239" s="92" t="s">
        <v>922</v>
      </c>
      <c r="D239" s="92"/>
      <c r="E239" s="92" t="s">
        <v>768</v>
      </c>
      <c r="F239" s="92"/>
      <c r="G239" s="263">
        <v>9898615</v>
      </c>
      <c r="H239" s="263">
        <v>1397804</v>
      </c>
      <c r="I239" s="156" t="s">
        <v>769</v>
      </c>
      <c r="J239" s="263">
        <v>6</v>
      </c>
      <c r="K239" s="263">
        <v>21</v>
      </c>
      <c r="L239" s="96">
        <v>469182.6</v>
      </c>
      <c r="M239" s="100">
        <v>44360</v>
      </c>
      <c r="N239" s="100">
        <v>44364</v>
      </c>
      <c r="O239" s="100">
        <v>44364</v>
      </c>
      <c r="P239" s="92" t="s">
        <v>2000</v>
      </c>
      <c r="Q239" s="92" t="s">
        <v>710</v>
      </c>
      <c r="R239" s="92" t="s">
        <v>2001</v>
      </c>
      <c r="S239" s="92" t="s">
        <v>1116</v>
      </c>
      <c r="T239" s="92" t="s">
        <v>2002</v>
      </c>
      <c r="U239" s="92"/>
      <c r="V239" s="92"/>
      <c r="W239" s="92"/>
      <c r="X239" s="92"/>
      <c r="Y239" s="92" t="s">
        <v>606</v>
      </c>
      <c r="Z239" s="92" t="s">
        <v>770</v>
      </c>
      <c r="AA239" s="92" t="s">
        <v>1236</v>
      </c>
      <c r="AB239" s="92" t="s">
        <v>778</v>
      </c>
      <c r="AC239" s="92" t="s">
        <v>779</v>
      </c>
      <c r="AD239" s="92" t="s">
        <v>1779</v>
      </c>
      <c r="AE239" s="92"/>
      <c r="AF239" s="92"/>
    </row>
    <row r="240" spans="1:32" ht="12.75" customHeight="1">
      <c r="A240" s="92" t="s">
        <v>620</v>
      </c>
      <c r="B240" s="92" t="s">
        <v>65</v>
      </c>
      <c r="C240" s="92" t="s">
        <v>922</v>
      </c>
      <c r="D240" s="92"/>
      <c r="E240" s="92" t="s">
        <v>49</v>
      </c>
      <c r="F240" s="92" t="s">
        <v>652</v>
      </c>
      <c r="G240" s="263">
        <v>9888608</v>
      </c>
      <c r="H240" s="263">
        <v>18266695</v>
      </c>
      <c r="I240" s="156" t="s">
        <v>772</v>
      </c>
      <c r="J240" s="263">
        <v>6</v>
      </c>
      <c r="K240" s="263">
        <v>21</v>
      </c>
      <c r="L240" s="96">
        <v>-175000</v>
      </c>
      <c r="M240" s="100">
        <v>44377</v>
      </c>
      <c r="N240" s="100">
        <v>44377</v>
      </c>
      <c r="O240" s="100">
        <v>44344</v>
      </c>
      <c r="P240" s="92"/>
      <c r="Q240" s="92" t="s">
        <v>1978</v>
      </c>
      <c r="R240" s="92"/>
      <c r="S240" s="92">
        <v>0</v>
      </c>
      <c r="T240" s="92" t="s">
        <v>1979</v>
      </c>
      <c r="U240" s="92"/>
      <c r="V240" s="92"/>
      <c r="W240" s="92"/>
      <c r="X240" s="92"/>
      <c r="Y240" s="92" t="s">
        <v>606</v>
      </c>
      <c r="Z240" s="92" t="s">
        <v>770</v>
      </c>
      <c r="AA240" s="92" t="s">
        <v>1272</v>
      </c>
      <c r="AB240" s="92" t="s">
        <v>1298</v>
      </c>
      <c r="AC240" s="92" t="s">
        <v>780</v>
      </c>
      <c r="AD240" s="92"/>
      <c r="AE240" s="92"/>
      <c r="AF240" s="92"/>
    </row>
    <row r="241" spans="1:32" ht="12.75" customHeight="1">
      <c r="A241" s="92" t="s">
        <v>620</v>
      </c>
      <c r="B241" s="92" t="s">
        <v>65</v>
      </c>
      <c r="C241" s="92" t="s">
        <v>922</v>
      </c>
      <c r="D241" s="92"/>
      <c r="E241" s="92" t="s">
        <v>49</v>
      </c>
      <c r="F241" s="92"/>
      <c r="G241" s="263">
        <v>9888644</v>
      </c>
      <c r="H241" s="263">
        <v>18266708</v>
      </c>
      <c r="I241" s="156" t="s">
        <v>772</v>
      </c>
      <c r="J241" s="263">
        <v>6</v>
      </c>
      <c r="K241" s="263">
        <v>21</v>
      </c>
      <c r="L241" s="96">
        <v>-35000</v>
      </c>
      <c r="M241" s="100">
        <v>44377</v>
      </c>
      <c r="N241" s="100">
        <v>44377</v>
      </c>
      <c r="O241" s="100">
        <v>44344</v>
      </c>
      <c r="P241" s="92" t="s">
        <v>1980</v>
      </c>
      <c r="Q241" s="92" t="s">
        <v>1980</v>
      </c>
      <c r="R241" s="92"/>
      <c r="S241" s="92">
        <v>0</v>
      </c>
      <c r="T241" s="92" t="s">
        <v>1428</v>
      </c>
      <c r="U241" s="92"/>
      <c r="V241" s="92"/>
      <c r="W241" s="92"/>
      <c r="X241" s="92"/>
      <c r="Y241" s="92" t="s">
        <v>606</v>
      </c>
      <c r="Z241" s="92" t="s">
        <v>770</v>
      </c>
      <c r="AA241" s="92" t="s">
        <v>1272</v>
      </c>
      <c r="AB241" s="92" t="s">
        <v>1298</v>
      </c>
      <c r="AC241" s="92" t="s">
        <v>780</v>
      </c>
      <c r="AD241" s="92"/>
      <c r="AE241" s="92"/>
      <c r="AF241" s="92"/>
    </row>
    <row r="242" spans="1:32" ht="12.75" customHeight="1">
      <c r="A242" s="98" t="s">
        <v>620</v>
      </c>
      <c r="B242" s="98" t="s">
        <v>65</v>
      </c>
      <c r="C242" s="98" t="s">
        <v>922</v>
      </c>
      <c r="D242" s="98"/>
      <c r="E242" s="98" t="s">
        <v>49</v>
      </c>
      <c r="F242" s="98"/>
      <c r="G242" s="263">
        <v>9888644</v>
      </c>
      <c r="H242" s="263">
        <v>18266708</v>
      </c>
      <c r="I242" s="157" t="s">
        <v>772</v>
      </c>
      <c r="J242" s="263">
        <v>6</v>
      </c>
      <c r="K242" s="263">
        <v>21</v>
      </c>
      <c r="L242" s="187">
        <v>-15000</v>
      </c>
      <c r="M242" s="101">
        <v>44377</v>
      </c>
      <c r="N242" s="101">
        <v>44377</v>
      </c>
      <c r="O242" s="101">
        <v>44344</v>
      </c>
      <c r="P242" s="98" t="s">
        <v>1980</v>
      </c>
      <c r="Q242" s="98" t="s">
        <v>1980</v>
      </c>
      <c r="R242" s="98"/>
      <c r="S242" s="98">
        <v>0</v>
      </c>
      <c r="T242" s="98" t="s">
        <v>1569</v>
      </c>
      <c r="U242" s="98"/>
      <c r="V242" s="98"/>
      <c r="W242" s="98"/>
      <c r="X242" s="98"/>
      <c r="Y242" s="98" t="s">
        <v>606</v>
      </c>
      <c r="Z242" s="98" t="s">
        <v>770</v>
      </c>
      <c r="AA242" s="98" t="s">
        <v>1272</v>
      </c>
      <c r="AB242" s="98" t="s">
        <v>1298</v>
      </c>
      <c r="AC242" s="98" t="s">
        <v>780</v>
      </c>
      <c r="AD242" s="98"/>
      <c r="AE242" s="98"/>
      <c r="AF242" s="98"/>
    </row>
    <row r="243" spans="1:32" ht="12.75" customHeight="1">
      <c r="A243" s="102" t="s">
        <v>602</v>
      </c>
      <c r="B243" s="102"/>
      <c r="C243" s="102"/>
      <c r="D243" s="102"/>
      <c r="E243" s="102"/>
      <c r="F243" s="102"/>
      <c r="G243" s="160"/>
      <c r="H243" s="160"/>
      <c r="I243" s="160"/>
      <c r="J243" s="160"/>
      <c r="K243" s="160"/>
      <c r="L243" s="186">
        <v>-2737329.75</v>
      </c>
      <c r="M243" s="102"/>
      <c r="N243" s="102"/>
      <c r="O243" s="102"/>
      <c r="P243" s="102"/>
      <c r="Q243" s="102"/>
      <c r="R243" s="102"/>
      <c r="S243" s="102"/>
      <c r="T243" s="102"/>
      <c r="U243" s="102"/>
      <c r="V243" s="102"/>
      <c r="W243" s="102"/>
      <c r="X243" s="102"/>
      <c r="Y243" s="102"/>
      <c r="Z243" s="102"/>
      <c r="AA243" s="102"/>
      <c r="AB243" s="102"/>
      <c r="AC243" s="102"/>
      <c r="AD243" s="102"/>
      <c r="AE243" s="102"/>
      <c r="AF243" s="102"/>
    </row>
    <row r="245" spans="1:32" ht="31.5">
      <c r="A245" s="91" t="s">
        <v>746</v>
      </c>
      <c r="B245" s="91" t="s">
        <v>604</v>
      </c>
      <c r="C245" s="91" t="s">
        <v>747</v>
      </c>
      <c r="D245" s="91" t="s">
        <v>608</v>
      </c>
      <c r="E245" s="91" t="s">
        <v>749</v>
      </c>
      <c r="F245" s="91" t="s">
        <v>921</v>
      </c>
      <c r="G245" s="159" t="s">
        <v>748</v>
      </c>
      <c r="H245" s="159" t="s">
        <v>750</v>
      </c>
      <c r="I245" s="159" t="s">
        <v>751</v>
      </c>
      <c r="J245" s="159" t="s">
        <v>752</v>
      </c>
      <c r="K245" s="159" t="s">
        <v>753</v>
      </c>
      <c r="L245" s="91" t="s">
        <v>754</v>
      </c>
      <c r="M245" s="91" t="s">
        <v>918</v>
      </c>
      <c r="N245" s="91" t="s">
        <v>2</v>
      </c>
      <c r="O245" s="91" t="s">
        <v>755</v>
      </c>
      <c r="P245" s="91" t="s">
        <v>605</v>
      </c>
      <c r="Q245" s="91" t="s">
        <v>756</v>
      </c>
      <c r="R245" s="91" t="s">
        <v>946</v>
      </c>
      <c r="S245" s="91" t="s">
        <v>761</v>
      </c>
      <c r="T245" s="91" t="s">
        <v>760</v>
      </c>
      <c r="U245" s="91" t="s">
        <v>1361</v>
      </c>
      <c r="V245" s="91" t="s">
        <v>757</v>
      </c>
      <c r="W245" s="91" t="s">
        <v>758</v>
      </c>
      <c r="X245" s="91" t="s">
        <v>759</v>
      </c>
      <c r="Y245" s="91" t="s">
        <v>762</v>
      </c>
      <c r="Z245" s="91" t="s">
        <v>763</v>
      </c>
      <c r="AA245" s="91" t="s">
        <v>764</v>
      </c>
      <c r="AB245" s="91" t="s">
        <v>765</v>
      </c>
      <c r="AC245" s="91" t="s">
        <v>766</v>
      </c>
      <c r="AD245" s="91" t="s">
        <v>767</v>
      </c>
      <c r="AE245" s="91" t="s">
        <v>919</v>
      </c>
      <c r="AF245" s="91" t="s">
        <v>920</v>
      </c>
    </row>
    <row r="246" spans="1:32" ht="12.75" customHeight="1">
      <c r="A246" s="92" t="s">
        <v>703</v>
      </c>
      <c r="B246" s="92" t="s">
        <v>56</v>
      </c>
      <c r="C246" s="92" t="s">
        <v>922</v>
      </c>
      <c r="D246" s="92"/>
      <c r="E246" s="92" t="s">
        <v>768</v>
      </c>
      <c r="F246" s="92"/>
      <c r="G246" s="263">
        <v>9909988</v>
      </c>
      <c r="H246" s="263">
        <v>1400768</v>
      </c>
      <c r="I246" s="156" t="s">
        <v>769</v>
      </c>
      <c r="J246" s="263">
        <v>7</v>
      </c>
      <c r="K246" s="263">
        <v>21</v>
      </c>
      <c r="L246" s="96">
        <v>75000</v>
      </c>
      <c r="M246" s="100">
        <v>44389</v>
      </c>
      <c r="N246" s="100">
        <v>44392</v>
      </c>
      <c r="O246" s="100">
        <v>44392</v>
      </c>
      <c r="P246" s="92" t="s">
        <v>2014</v>
      </c>
      <c r="Q246" s="92" t="s">
        <v>1876</v>
      </c>
      <c r="R246" s="92" t="s">
        <v>2015</v>
      </c>
      <c r="S246" s="92" t="s">
        <v>2016</v>
      </c>
      <c r="T246" s="92" t="s">
        <v>1793</v>
      </c>
      <c r="U246" s="92"/>
      <c r="V246" s="92"/>
      <c r="W246" s="92"/>
      <c r="X246" s="92"/>
      <c r="Y246" s="92" t="s">
        <v>606</v>
      </c>
      <c r="Z246" s="92" t="s">
        <v>770</v>
      </c>
      <c r="AA246" s="92" t="s">
        <v>1236</v>
      </c>
      <c r="AB246" s="92" t="s">
        <v>778</v>
      </c>
      <c r="AC246" s="92" t="s">
        <v>787</v>
      </c>
      <c r="AD246" s="92"/>
      <c r="AE246" s="92"/>
      <c r="AF246" s="92"/>
    </row>
    <row r="247" spans="1:32" ht="12.75" customHeight="1">
      <c r="A247" s="92" t="s">
        <v>703</v>
      </c>
      <c r="B247" s="92" t="s">
        <v>64</v>
      </c>
      <c r="C247" s="92" t="s">
        <v>922</v>
      </c>
      <c r="D247" s="92"/>
      <c r="E247" s="92" t="s">
        <v>768</v>
      </c>
      <c r="F247" s="92"/>
      <c r="G247" s="263">
        <v>9906369</v>
      </c>
      <c r="H247" s="263">
        <v>1399743</v>
      </c>
      <c r="I247" s="156" t="s">
        <v>769</v>
      </c>
      <c r="J247" s="263">
        <v>7</v>
      </c>
      <c r="K247" s="263">
        <v>21</v>
      </c>
      <c r="L247" s="96">
        <v>45000</v>
      </c>
      <c r="M247" s="100">
        <v>44384</v>
      </c>
      <c r="N247" s="100">
        <v>44385</v>
      </c>
      <c r="O247" s="100">
        <v>44385</v>
      </c>
      <c r="P247" s="92" t="s">
        <v>2017</v>
      </c>
      <c r="Q247" s="92" t="s">
        <v>1543</v>
      </c>
      <c r="R247" s="92" t="s">
        <v>2018</v>
      </c>
      <c r="S247" s="92" t="s">
        <v>2019</v>
      </c>
      <c r="T247" s="92" t="s">
        <v>1464</v>
      </c>
      <c r="U247" s="92"/>
      <c r="V247" s="92"/>
      <c r="W247" s="92"/>
      <c r="X247" s="92"/>
      <c r="Y247" s="92" t="s">
        <v>606</v>
      </c>
      <c r="Z247" s="92" t="s">
        <v>770</v>
      </c>
      <c r="AA247" s="92" t="s">
        <v>1236</v>
      </c>
      <c r="AB247" s="92" t="s">
        <v>778</v>
      </c>
      <c r="AC247" s="92" t="s">
        <v>785</v>
      </c>
      <c r="AD247" s="92" t="s">
        <v>1465</v>
      </c>
      <c r="AE247" s="92"/>
      <c r="AF247" s="92"/>
    </row>
    <row r="248" spans="1:32" ht="12.75" customHeight="1">
      <c r="A248" s="92" t="s">
        <v>703</v>
      </c>
      <c r="B248" s="92" t="s">
        <v>64</v>
      </c>
      <c r="C248" s="92" t="s">
        <v>922</v>
      </c>
      <c r="D248" s="92"/>
      <c r="E248" s="92" t="s">
        <v>49</v>
      </c>
      <c r="F248" s="92"/>
      <c r="G248" s="263">
        <v>9919181</v>
      </c>
      <c r="H248" s="263">
        <v>18343369</v>
      </c>
      <c r="I248" s="156" t="s">
        <v>772</v>
      </c>
      <c r="J248" s="263">
        <v>7</v>
      </c>
      <c r="K248" s="263">
        <v>21</v>
      </c>
      <c r="L248" s="96">
        <v>336869.03</v>
      </c>
      <c r="M248" s="100">
        <v>44408</v>
      </c>
      <c r="N248" s="100">
        <v>44408</v>
      </c>
      <c r="O248" s="100">
        <v>44413</v>
      </c>
      <c r="P248" s="92" t="s">
        <v>2020</v>
      </c>
      <c r="Q248" s="92" t="s">
        <v>2021</v>
      </c>
      <c r="R248" s="92"/>
      <c r="S248" s="92">
        <v>0</v>
      </c>
      <c r="T248" s="92" t="s">
        <v>2022</v>
      </c>
      <c r="U248" s="92"/>
      <c r="V248" s="92"/>
      <c r="W248" s="92" t="s">
        <v>773</v>
      </c>
      <c r="X248" s="92"/>
      <c r="Y248" s="92" t="s">
        <v>606</v>
      </c>
      <c r="Z248" s="92" t="s">
        <v>770</v>
      </c>
      <c r="AA248" s="92" t="s">
        <v>1299</v>
      </c>
      <c r="AB248" s="92" t="s">
        <v>778</v>
      </c>
      <c r="AC248" s="92" t="s">
        <v>785</v>
      </c>
      <c r="AD248" s="92" t="s">
        <v>1177</v>
      </c>
      <c r="AE248" s="92"/>
      <c r="AF248" s="92"/>
    </row>
    <row r="249" spans="1:32" ht="12.75" customHeight="1">
      <c r="A249" s="92" t="s">
        <v>703</v>
      </c>
      <c r="B249" s="92" t="s">
        <v>64</v>
      </c>
      <c r="C249" s="92" t="s">
        <v>922</v>
      </c>
      <c r="D249" s="92"/>
      <c r="E249" s="92" t="s">
        <v>49</v>
      </c>
      <c r="F249" s="92"/>
      <c r="G249" s="263">
        <v>9919181</v>
      </c>
      <c r="H249" s="263">
        <v>18343369</v>
      </c>
      <c r="I249" s="156" t="s">
        <v>772</v>
      </c>
      <c r="J249" s="263">
        <v>7</v>
      </c>
      <c r="K249" s="263">
        <v>21</v>
      </c>
      <c r="L249" s="96">
        <v>686044</v>
      </c>
      <c r="M249" s="100">
        <v>44408</v>
      </c>
      <c r="N249" s="100">
        <v>44408</v>
      </c>
      <c r="O249" s="100">
        <v>44413</v>
      </c>
      <c r="P249" s="92" t="s">
        <v>2023</v>
      </c>
      <c r="Q249" s="92" t="s">
        <v>2021</v>
      </c>
      <c r="R249" s="92"/>
      <c r="S249" s="92">
        <v>0</v>
      </c>
      <c r="T249" s="92" t="s">
        <v>2024</v>
      </c>
      <c r="U249" s="92"/>
      <c r="V249" s="92"/>
      <c r="W249" s="92" t="s">
        <v>773</v>
      </c>
      <c r="X249" s="92"/>
      <c r="Y249" s="92" t="s">
        <v>606</v>
      </c>
      <c r="Z249" s="92" t="s">
        <v>770</v>
      </c>
      <c r="AA249" s="92" t="s">
        <v>1299</v>
      </c>
      <c r="AB249" s="92" t="s">
        <v>778</v>
      </c>
      <c r="AC249" s="92" t="s">
        <v>785</v>
      </c>
      <c r="AD249" s="92" t="s">
        <v>1269</v>
      </c>
      <c r="AE249" s="92"/>
      <c r="AF249" s="92"/>
    </row>
    <row r="250" spans="1:32" ht="12.75" customHeight="1">
      <c r="A250" s="92" t="s">
        <v>703</v>
      </c>
      <c r="B250" s="92" t="s">
        <v>64</v>
      </c>
      <c r="C250" s="92" t="s">
        <v>922</v>
      </c>
      <c r="D250" s="92"/>
      <c r="E250" s="92" t="s">
        <v>49</v>
      </c>
      <c r="F250" s="92"/>
      <c r="G250" s="263">
        <v>9919181</v>
      </c>
      <c r="H250" s="263">
        <v>18343369</v>
      </c>
      <c r="I250" s="156" t="s">
        <v>772</v>
      </c>
      <c r="J250" s="263">
        <v>7</v>
      </c>
      <c r="K250" s="263">
        <v>21</v>
      </c>
      <c r="L250" s="96">
        <v>635364.25</v>
      </c>
      <c r="M250" s="100">
        <v>44408</v>
      </c>
      <c r="N250" s="100">
        <v>44408</v>
      </c>
      <c r="O250" s="100">
        <v>44413</v>
      </c>
      <c r="P250" s="92" t="s">
        <v>2025</v>
      </c>
      <c r="Q250" s="92" t="s">
        <v>2021</v>
      </c>
      <c r="R250" s="92"/>
      <c r="S250" s="92">
        <v>0</v>
      </c>
      <c r="T250" s="92" t="s">
        <v>2026</v>
      </c>
      <c r="U250" s="92"/>
      <c r="V250" s="92"/>
      <c r="W250" s="92" t="s">
        <v>773</v>
      </c>
      <c r="X250" s="92"/>
      <c r="Y250" s="92" t="s">
        <v>606</v>
      </c>
      <c r="Z250" s="92" t="s">
        <v>770</v>
      </c>
      <c r="AA250" s="92" t="s">
        <v>1299</v>
      </c>
      <c r="AB250" s="92" t="s">
        <v>778</v>
      </c>
      <c r="AC250" s="92" t="s">
        <v>785</v>
      </c>
      <c r="AD250" s="92" t="s">
        <v>1270</v>
      </c>
      <c r="AE250" s="92"/>
      <c r="AF250" s="92"/>
    </row>
    <row r="251" spans="1:32" ht="12.75" customHeight="1">
      <c r="A251" s="92" t="s">
        <v>846</v>
      </c>
      <c r="B251" s="92" t="s">
        <v>72</v>
      </c>
      <c r="C251" s="92" t="s">
        <v>922</v>
      </c>
      <c r="D251" s="92"/>
      <c r="E251" s="92" t="s">
        <v>49</v>
      </c>
      <c r="F251" s="92"/>
      <c r="G251" s="263">
        <v>9915476</v>
      </c>
      <c r="H251" s="263">
        <v>18273504</v>
      </c>
      <c r="I251" s="156" t="s">
        <v>772</v>
      </c>
      <c r="J251" s="263">
        <v>7</v>
      </c>
      <c r="K251" s="263">
        <v>21</v>
      </c>
      <c r="L251" s="96">
        <v>-1200000</v>
      </c>
      <c r="M251" s="100">
        <v>44378</v>
      </c>
      <c r="N251" s="100">
        <v>44378</v>
      </c>
      <c r="O251" s="100">
        <v>44405</v>
      </c>
      <c r="P251" s="92" t="s">
        <v>2027</v>
      </c>
      <c r="Q251" s="92" t="s">
        <v>2027</v>
      </c>
      <c r="R251" s="92"/>
      <c r="S251" s="92">
        <v>0</v>
      </c>
      <c r="T251" s="92" t="s">
        <v>2028</v>
      </c>
      <c r="U251" s="92"/>
      <c r="V251" s="92"/>
      <c r="W251" s="92" t="s">
        <v>773</v>
      </c>
      <c r="X251" s="92"/>
      <c r="Y251" s="92" t="s">
        <v>606</v>
      </c>
      <c r="Z251" s="92" t="s">
        <v>770</v>
      </c>
      <c r="AA251" s="92" t="s">
        <v>1252</v>
      </c>
      <c r="AB251" s="92" t="s">
        <v>778</v>
      </c>
      <c r="AC251" s="92" t="s">
        <v>786</v>
      </c>
      <c r="AD251" s="92" t="s">
        <v>2029</v>
      </c>
      <c r="AE251" s="92"/>
      <c r="AF251" s="92"/>
    </row>
    <row r="252" spans="1:32" ht="12.75" customHeight="1">
      <c r="A252" s="92" t="s">
        <v>846</v>
      </c>
      <c r="B252" s="92" t="s">
        <v>72</v>
      </c>
      <c r="C252" s="92" t="s">
        <v>922</v>
      </c>
      <c r="D252" s="92"/>
      <c r="E252" s="92" t="s">
        <v>49</v>
      </c>
      <c r="F252" s="92"/>
      <c r="G252" s="263">
        <v>9916030</v>
      </c>
      <c r="H252" s="263">
        <v>18273589</v>
      </c>
      <c r="I252" s="156" t="s">
        <v>772</v>
      </c>
      <c r="J252" s="263">
        <v>7</v>
      </c>
      <c r="K252" s="263">
        <v>21</v>
      </c>
      <c r="L252" s="96">
        <v>35000</v>
      </c>
      <c r="M252" s="100">
        <v>44378</v>
      </c>
      <c r="N252" s="100">
        <v>44378</v>
      </c>
      <c r="O252" s="100">
        <v>44406</v>
      </c>
      <c r="P252" s="92" t="s">
        <v>1633</v>
      </c>
      <c r="Q252" s="92" t="s">
        <v>2030</v>
      </c>
      <c r="R252" s="92"/>
      <c r="S252" s="92">
        <v>0</v>
      </c>
      <c r="T252" s="92" t="s">
        <v>1634</v>
      </c>
      <c r="U252" s="92"/>
      <c r="V252" s="92"/>
      <c r="W252" s="92" t="s">
        <v>773</v>
      </c>
      <c r="X252" s="92"/>
      <c r="Y252" s="92" t="s">
        <v>606</v>
      </c>
      <c r="Z252" s="92" t="s">
        <v>770</v>
      </c>
      <c r="AA252" s="92" t="s">
        <v>1252</v>
      </c>
      <c r="AB252" s="92" t="s">
        <v>778</v>
      </c>
      <c r="AC252" s="92" t="s">
        <v>786</v>
      </c>
      <c r="AD252" s="92" t="s">
        <v>1291</v>
      </c>
      <c r="AE252" s="92"/>
      <c r="AF252" s="92"/>
    </row>
    <row r="253" spans="1:32" ht="12.75" customHeight="1">
      <c r="A253" s="92" t="s">
        <v>846</v>
      </c>
      <c r="B253" s="92" t="s">
        <v>72</v>
      </c>
      <c r="C253" s="92" t="s">
        <v>922</v>
      </c>
      <c r="D253" s="92"/>
      <c r="E253" s="92" t="s">
        <v>768</v>
      </c>
      <c r="F253" s="92"/>
      <c r="G253" s="263">
        <v>9904851</v>
      </c>
      <c r="H253" s="263">
        <v>1399436</v>
      </c>
      <c r="I253" s="156" t="s">
        <v>769</v>
      </c>
      <c r="J253" s="263">
        <v>7</v>
      </c>
      <c r="K253" s="263">
        <v>21</v>
      </c>
      <c r="L253" s="96">
        <v>10155.57</v>
      </c>
      <c r="M253" s="100">
        <v>44377</v>
      </c>
      <c r="N253" s="100">
        <v>44383</v>
      </c>
      <c r="O253" s="100">
        <v>44383</v>
      </c>
      <c r="P253" s="92" t="s">
        <v>2031</v>
      </c>
      <c r="Q253" s="92" t="s">
        <v>1191</v>
      </c>
      <c r="R253" s="92" t="s">
        <v>2032</v>
      </c>
      <c r="S253" s="92" t="s">
        <v>2033</v>
      </c>
      <c r="T253" s="92" t="s">
        <v>2034</v>
      </c>
      <c r="U253" s="92"/>
      <c r="V253" s="92"/>
      <c r="W253" s="92"/>
      <c r="X253" s="92"/>
      <c r="Y253" s="92" t="s">
        <v>606</v>
      </c>
      <c r="Z253" s="92" t="s">
        <v>770</v>
      </c>
      <c r="AA253" s="92" t="s">
        <v>1236</v>
      </c>
      <c r="AB253" s="92" t="s">
        <v>778</v>
      </c>
      <c r="AC253" s="92" t="s">
        <v>786</v>
      </c>
      <c r="AD253" s="92" t="s">
        <v>1179</v>
      </c>
      <c r="AE253" s="92"/>
      <c r="AF253" s="92"/>
    </row>
    <row r="254" spans="1:32" ht="12.75" customHeight="1">
      <c r="A254" s="92" t="s">
        <v>846</v>
      </c>
      <c r="B254" s="92" t="s">
        <v>72</v>
      </c>
      <c r="C254" s="92" t="s">
        <v>922</v>
      </c>
      <c r="D254" s="92"/>
      <c r="E254" s="92" t="s">
        <v>775</v>
      </c>
      <c r="F254" s="92"/>
      <c r="G254" s="263">
        <v>9911477</v>
      </c>
      <c r="H254" s="263">
        <v>3856483</v>
      </c>
      <c r="I254" s="156" t="s">
        <v>776</v>
      </c>
      <c r="J254" s="263">
        <v>7</v>
      </c>
      <c r="K254" s="263">
        <v>21</v>
      </c>
      <c r="L254" s="96">
        <v>11307.43</v>
      </c>
      <c r="M254" s="100">
        <v>44408</v>
      </c>
      <c r="N254" s="100">
        <v>44397</v>
      </c>
      <c r="O254" s="100">
        <v>44397</v>
      </c>
      <c r="P254" s="92" t="s">
        <v>777</v>
      </c>
      <c r="Q254" s="92" t="s">
        <v>1191</v>
      </c>
      <c r="R254" s="92"/>
      <c r="S254" s="92" t="s">
        <v>2033</v>
      </c>
      <c r="T254" s="92" t="s">
        <v>2035</v>
      </c>
      <c r="U254" s="92"/>
      <c r="V254" s="92"/>
      <c r="W254" s="92"/>
      <c r="X254" s="92"/>
      <c r="Y254" s="92" t="s">
        <v>606</v>
      </c>
      <c r="Z254" s="92" t="s">
        <v>770</v>
      </c>
      <c r="AA254" s="92" t="s">
        <v>778</v>
      </c>
      <c r="AB254" s="92" t="s">
        <v>778</v>
      </c>
      <c r="AC254" s="92" t="s">
        <v>786</v>
      </c>
      <c r="AD254" s="92"/>
      <c r="AE254" s="92"/>
      <c r="AF254" s="92"/>
    </row>
    <row r="255" spans="1:32" ht="12.75" customHeight="1">
      <c r="A255" s="92" t="s">
        <v>846</v>
      </c>
      <c r="B255" s="92" t="s">
        <v>1003</v>
      </c>
      <c r="C255" s="92" t="s">
        <v>922</v>
      </c>
      <c r="D255" s="92"/>
      <c r="E255" s="92" t="s">
        <v>49</v>
      </c>
      <c r="F255" s="92"/>
      <c r="G255" s="263">
        <v>9912969</v>
      </c>
      <c r="H255" s="263">
        <v>18272772</v>
      </c>
      <c r="I255" s="156" t="s">
        <v>772</v>
      </c>
      <c r="J255" s="263">
        <v>7</v>
      </c>
      <c r="K255" s="263">
        <v>21</v>
      </c>
      <c r="L255" s="96">
        <v>50000</v>
      </c>
      <c r="M255" s="100">
        <v>44408</v>
      </c>
      <c r="N255" s="100">
        <v>44408</v>
      </c>
      <c r="O255" s="100">
        <v>44399</v>
      </c>
      <c r="P255" s="92" t="s">
        <v>2036</v>
      </c>
      <c r="Q255" s="92" t="s">
        <v>2037</v>
      </c>
      <c r="R255" s="92"/>
      <c r="S255" s="92">
        <v>0</v>
      </c>
      <c r="T255" s="92" t="s">
        <v>2038</v>
      </c>
      <c r="U255" s="92"/>
      <c r="V255" s="92"/>
      <c r="W255" s="92"/>
      <c r="X255" s="92"/>
      <c r="Y255" s="92" t="s">
        <v>606</v>
      </c>
      <c r="Z255" s="92" t="s">
        <v>770</v>
      </c>
      <c r="AA255" s="92" t="s">
        <v>1346</v>
      </c>
      <c r="AB255" s="92" t="s">
        <v>778</v>
      </c>
      <c r="AC255" s="92" t="s">
        <v>1004</v>
      </c>
      <c r="AD255" s="92" t="s">
        <v>1062</v>
      </c>
      <c r="AE255" s="92"/>
      <c r="AF255" s="92"/>
    </row>
    <row r="256" spans="1:32" ht="12.75" customHeight="1">
      <c r="A256" s="92" t="s">
        <v>846</v>
      </c>
      <c r="B256" s="92" t="s">
        <v>1003</v>
      </c>
      <c r="C256" s="92" t="s">
        <v>922</v>
      </c>
      <c r="D256" s="92"/>
      <c r="E256" s="92" t="s">
        <v>49</v>
      </c>
      <c r="F256" s="92"/>
      <c r="G256" s="263">
        <v>9912969</v>
      </c>
      <c r="H256" s="263">
        <v>18272772</v>
      </c>
      <c r="I256" s="156" t="s">
        <v>772</v>
      </c>
      <c r="J256" s="263">
        <v>7</v>
      </c>
      <c r="K256" s="263">
        <v>21</v>
      </c>
      <c r="L256" s="96">
        <v>200000</v>
      </c>
      <c r="M256" s="100">
        <v>44408</v>
      </c>
      <c r="N256" s="100">
        <v>44408</v>
      </c>
      <c r="O256" s="100">
        <v>44399</v>
      </c>
      <c r="P256" s="92" t="s">
        <v>2039</v>
      </c>
      <c r="Q256" s="92" t="s">
        <v>2037</v>
      </c>
      <c r="R256" s="92"/>
      <c r="S256" s="92">
        <v>0</v>
      </c>
      <c r="T256" s="92" t="s">
        <v>2040</v>
      </c>
      <c r="U256" s="92"/>
      <c r="V256" s="92"/>
      <c r="W256" s="92"/>
      <c r="X256" s="92"/>
      <c r="Y256" s="92" t="s">
        <v>606</v>
      </c>
      <c r="Z256" s="92" t="s">
        <v>770</v>
      </c>
      <c r="AA256" s="92" t="s">
        <v>1346</v>
      </c>
      <c r="AB256" s="92" t="s">
        <v>778</v>
      </c>
      <c r="AC256" s="92" t="s">
        <v>1004</v>
      </c>
      <c r="AD256" s="92" t="s">
        <v>1066</v>
      </c>
      <c r="AE256" s="92"/>
      <c r="AF256" s="92"/>
    </row>
    <row r="257" spans="1:32" ht="12.75" customHeight="1">
      <c r="A257" s="92" t="s">
        <v>846</v>
      </c>
      <c r="B257" s="92" t="s">
        <v>1003</v>
      </c>
      <c r="C257" s="92" t="s">
        <v>922</v>
      </c>
      <c r="D257" s="92"/>
      <c r="E257" s="92" t="s">
        <v>49</v>
      </c>
      <c r="F257" s="92"/>
      <c r="G257" s="263">
        <v>9918395</v>
      </c>
      <c r="H257" s="263">
        <v>18342215</v>
      </c>
      <c r="I257" s="156" t="s">
        <v>772</v>
      </c>
      <c r="J257" s="263">
        <v>7</v>
      </c>
      <c r="K257" s="263">
        <v>21</v>
      </c>
      <c r="L257" s="96">
        <v>-50000</v>
      </c>
      <c r="M257" s="100">
        <v>44408</v>
      </c>
      <c r="N257" s="100">
        <v>44408</v>
      </c>
      <c r="O257" s="100">
        <v>44412</v>
      </c>
      <c r="P257" s="92" t="s">
        <v>2041</v>
      </c>
      <c r="Q257" s="92" t="s">
        <v>2042</v>
      </c>
      <c r="R257" s="92"/>
      <c r="S257" s="92">
        <v>0</v>
      </c>
      <c r="T257" s="92" t="s">
        <v>2038</v>
      </c>
      <c r="U257" s="92"/>
      <c r="V257" s="92"/>
      <c r="W257" s="92"/>
      <c r="X257" s="92"/>
      <c r="Y257" s="92" t="s">
        <v>606</v>
      </c>
      <c r="Z257" s="92" t="s">
        <v>770</v>
      </c>
      <c r="AA257" s="92" t="s">
        <v>1346</v>
      </c>
      <c r="AB257" s="92" t="s">
        <v>778</v>
      </c>
      <c r="AC257" s="92" t="s">
        <v>1004</v>
      </c>
      <c r="AD257" s="92" t="s">
        <v>1062</v>
      </c>
      <c r="AE257" s="92"/>
      <c r="AF257" s="92"/>
    </row>
    <row r="258" spans="1:32" ht="12.75" customHeight="1">
      <c r="A258" s="92" t="s">
        <v>846</v>
      </c>
      <c r="B258" s="92" t="s">
        <v>1003</v>
      </c>
      <c r="C258" s="92" t="s">
        <v>922</v>
      </c>
      <c r="D258" s="92"/>
      <c r="E258" s="92" t="s">
        <v>49</v>
      </c>
      <c r="F258" s="92"/>
      <c r="G258" s="263">
        <v>9918395</v>
      </c>
      <c r="H258" s="263">
        <v>18342215</v>
      </c>
      <c r="I258" s="156" t="s">
        <v>772</v>
      </c>
      <c r="J258" s="263">
        <v>7</v>
      </c>
      <c r="K258" s="263">
        <v>21</v>
      </c>
      <c r="L258" s="96">
        <v>-200000</v>
      </c>
      <c r="M258" s="100">
        <v>44408</v>
      </c>
      <c r="N258" s="100">
        <v>44408</v>
      </c>
      <c r="O258" s="100">
        <v>44412</v>
      </c>
      <c r="P258" s="92" t="s">
        <v>2043</v>
      </c>
      <c r="Q258" s="92" t="s">
        <v>2042</v>
      </c>
      <c r="R258" s="92"/>
      <c r="S258" s="92">
        <v>0</v>
      </c>
      <c r="T258" s="92" t="s">
        <v>2040</v>
      </c>
      <c r="U258" s="92"/>
      <c r="V258" s="92"/>
      <c r="W258" s="92"/>
      <c r="X258" s="92"/>
      <c r="Y258" s="92" t="s">
        <v>606</v>
      </c>
      <c r="Z258" s="92" t="s">
        <v>770</v>
      </c>
      <c r="AA258" s="92" t="s">
        <v>1346</v>
      </c>
      <c r="AB258" s="92" t="s">
        <v>778</v>
      </c>
      <c r="AC258" s="92" t="s">
        <v>1004</v>
      </c>
      <c r="AD258" s="92" t="s">
        <v>1066</v>
      </c>
      <c r="AE258" s="92"/>
      <c r="AF258" s="92"/>
    </row>
    <row r="259" spans="1:32" ht="12.75" customHeight="1">
      <c r="A259" s="92" t="s">
        <v>846</v>
      </c>
      <c r="B259" s="92" t="s">
        <v>63</v>
      </c>
      <c r="C259" s="92" t="s">
        <v>922</v>
      </c>
      <c r="D259" s="92"/>
      <c r="E259" s="92" t="s">
        <v>49</v>
      </c>
      <c r="F259" s="92"/>
      <c r="G259" s="263">
        <v>9912996</v>
      </c>
      <c r="H259" s="263">
        <v>18272775</v>
      </c>
      <c r="I259" s="156" t="s">
        <v>772</v>
      </c>
      <c r="J259" s="263">
        <v>7</v>
      </c>
      <c r="K259" s="263">
        <v>21</v>
      </c>
      <c r="L259" s="96">
        <v>16000</v>
      </c>
      <c r="M259" s="100">
        <v>44378</v>
      </c>
      <c r="N259" s="100">
        <v>44378</v>
      </c>
      <c r="O259" s="100">
        <v>44399</v>
      </c>
      <c r="P259" s="92" t="s">
        <v>2044</v>
      </c>
      <c r="Q259" s="92" t="s">
        <v>2045</v>
      </c>
      <c r="R259" s="92"/>
      <c r="S259" s="92">
        <v>0</v>
      </c>
      <c r="T259" s="92" t="s">
        <v>2046</v>
      </c>
      <c r="U259" s="92"/>
      <c r="V259" s="92"/>
      <c r="W259" s="92" t="s">
        <v>773</v>
      </c>
      <c r="X259" s="92"/>
      <c r="Y259" s="92" t="s">
        <v>606</v>
      </c>
      <c r="Z259" s="92" t="s">
        <v>770</v>
      </c>
      <c r="AA259" s="92" t="s">
        <v>1252</v>
      </c>
      <c r="AB259" s="92" t="s">
        <v>778</v>
      </c>
      <c r="AC259" s="92" t="s">
        <v>781</v>
      </c>
      <c r="AD259" s="92" t="s">
        <v>1145</v>
      </c>
      <c r="AE259" s="92"/>
      <c r="AF259" s="92"/>
    </row>
    <row r="260" spans="1:32" ht="12.75" customHeight="1">
      <c r="A260" s="92" t="s">
        <v>846</v>
      </c>
      <c r="B260" s="92" t="s">
        <v>63</v>
      </c>
      <c r="C260" s="92" t="s">
        <v>922</v>
      </c>
      <c r="D260" s="92"/>
      <c r="E260" s="92" t="s">
        <v>49</v>
      </c>
      <c r="F260" s="92"/>
      <c r="G260" s="263">
        <v>9912996</v>
      </c>
      <c r="H260" s="263">
        <v>18272775</v>
      </c>
      <c r="I260" s="156" t="s">
        <v>772</v>
      </c>
      <c r="J260" s="263">
        <v>7</v>
      </c>
      <c r="K260" s="263">
        <v>21</v>
      </c>
      <c r="L260" s="96">
        <v>42334.46</v>
      </c>
      <c r="M260" s="100">
        <v>44378</v>
      </c>
      <c r="N260" s="100">
        <v>44378</v>
      </c>
      <c r="O260" s="100">
        <v>44399</v>
      </c>
      <c r="P260" s="92" t="s">
        <v>2047</v>
      </c>
      <c r="Q260" s="92" t="s">
        <v>2045</v>
      </c>
      <c r="R260" s="92"/>
      <c r="S260" s="92">
        <v>0</v>
      </c>
      <c r="T260" s="92" t="s">
        <v>2048</v>
      </c>
      <c r="U260" s="92"/>
      <c r="V260" s="92"/>
      <c r="W260" s="92" t="s">
        <v>773</v>
      </c>
      <c r="X260" s="92"/>
      <c r="Y260" s="92" t="s">
        <v>606</v>
      </c>
      <c r="Z260" s="92" t="s">
        <v>770</v>
      </c>
      <c r="AA260" s="92" t="s">
        <v>1252</v>
      </c>
      <c r="AB260" s="92" t="s">
        <v>778</v>
      </c>
      <c r="AC260" s="92" t="s">
        <v>781</v>
      </c>
      <c r="AD260" s="92" t="s">
        <v>1033</v>
      </c>
      <c r="AE260" s="92"/>
      <c r="AF260" s="92"/>
    </row>
    <row r="261" spans="1:32" ht="12.75" customHeight="1">
      <c r="A261" s="92" t="s">
        <v>846</v>
      </c>
      <c r="B261" s="92" t="s">
        <v>63</v>
      </c>
      <c r="C261" s="92" t="s">
        <v>922</v>
      </c>
      <c r="D261" s="92"/>
      <c r="E261" s="92" t="s">
        <v>49</v>
      </c>
      <c r="F261" s="92"/>
      <c r="G261" s="263">
        <v>9912996</v>
      </c>
      <c r="H261" s="263">
        <v>18272775</v>
      </c>
      <c r="I261" s="156" t="s">
        <v>772</v>
      </c>
      <c r="J261" s="263">
        <v>7</v>
      </c>
      <c r="K261" s="263">
        <v>21</v>
      </c>
      <c r="L261" s="96">
        <v>50000</v>
      </c>
      <c r="M261" s="100">
        <v>44378</v>
      </c>
      <c r="N261" s="100">
        <v>44378</v>
      </c>
      <c r="O261" s="100">
        <v>44399</v>
      </c>
      <c r="P261" s="92" t="s">
        <v>1226</v>
      </c>
      <c r="Q261" s="92" t="s">
        <v>2045</v>
      </c>
      <c r="R261" s="92"/>
      <c r="S261" s="92">
        <v>0</v>
      </c>
      <c r="T261" s="92" t="s">
        <v>2049</v>
      </c>
      <c r="U261" s="92"/>
      <c r="V261" s="92"/>
      <c r="W261" s="92" t="s">
        <v>773</v>
      </c>
      <c r="X261" s="92"/>
      <c r="Y261" s="92" t="s">
        <v>606</v>
      </c>
      <c r="Z261" s="92" t="s">
        <v>770</v>
      </c>
      <c r="AA261" s="92" t="s">
        <v>1252</v>
      </c>
      <c r="AB261" s="92" t="s">
        <v>778</v>
      </c>
      <c r="AC261" s="92" t="s">
        <v>781</v>
      </c>
      <c r="AD261" s="92" t="s">
        <v>2050</v>
      </c>
      <c r="AE261" s="92"/>
      <c r="AF261" s="92"/>
    </row>
    <row r="262" spans="1:32" ht="12.75" customHeight="1">
      <c r="A262" s="92" t="s">
        <v>846</v>
      </c>
      <c r="B262" s="92" t="s">
        <v>63</v>
      </c>
      <c r="C262" s="92" t="s">
        <v>922</v>
      </c>
      <c r="D262" s="92"/>
      <c r="E262" s="92" t="s">
        <v>49</v>
      </c>
      <c r="F262" s="92"/>
      <c r="G262" s="263">
        <v>9912996</v>
      </c>
      <c r="H262" s="263">
        <v>18272775</v>
      </c>
      <c r="I262" s="156" t="s">
        <v>772</v>
      </c>
      <c r="J262" s="263">
        <v>7</v>
      </c>
      <c r="K262" s="263">
        <v>21</v>
      </c>
      <c r="L262" s="96">
        <v>50000</v>
      </c>
      <c r="M262" s="100">
        <v>44378</v>
      </c>
      <c r="N262" s="100">
        <v>44378</v>
      </c>
      <c r="O262" s="100">
        <v>44399</v>
      </c>
      <c r="P262" s="92" t="s">
        <v>2051</v>
      </c>
      <c r="Q262" s="92" t="s">
        <v>2045</v>
      </c>
      <c r="R262" s="92"/>
      <c r="S262" s="92">
        <v>0</v>
      </c>
      <c r="T262" s="92" t="s">
        <v>2052</v>
      </c>
      <c r="U262" s="92"/>
      <c r="V262" s="92"/>
      <c r="W262" s="92" t="s">
        <v>773</v>
      </c>
      <c r="X262" s="92"/>
      <c r="Y262" s="92" t="s">
        <v>606</v>
      </c>
      <c r="Z262" s="92" t="s">
        <v>770</v>
      </c>
      <c r="AA262" s="92" t="s">
        <v>1252</v>
      </c>
      <c r="AB262" s="92" t="s">
        <v>778</v>
      </c>
      <c r="AC262" s="92" t="s">
        <v>781</v>
      </c>
      <c r="AD262" s="92" t="s">
        <v>1170</v>
      </c>
      <c r="AE262" s="92"/>
      <c r="AF262" s="92"/>
    </row>
    <row r="263" spans="1:32" ht="12.75" customHeight="1">
      <c r="A263" s="92" t="s">
        <v>846</v>
      </c>
      <c r="B263" s="92" t="s">
        <v>609</v>
      </c>
      <c r="C263" s="92" t="s">
        <v>922</v>
      </c>
      <c r="D263" s="92"/>
      <c r="E263" s="92" t="s">
        <v>768</v>
      </c>
      <c r="F263" s="92"/>
      <c r="G263" s="263">
        <v>9909940</v>
      </c>
      <c r="H263" s="263">
        <v>1400719</v>
      </c>
      <c r="I263" s="156" t="s">
        <v>769</v>
      </c>
      <c r="J263" s="263">
        <v>7</v>
      </c>
      <c r="K263" s="263">
        <v>21</v>
      </c>
      <c r="L263" s="96">
        <v>213959.7</v>
      </c>
      <c r="M263" s="100">
        <v>44390</v>
      </c>
      <c r="N263" s="100">
        <v>44392</v>
      </c>
      <c r="O263" s="100">
        <v>44392</v>
      </c>
      <c r="P263" s="92" t="s">
        <v>2053</v>
      </c>
      <c r="Q263" s="92" t="s">
        <v>2054</v>
      </c>
      <c r="R263" s="92" t="s">
        <v>2055</v>
      </c>
      <c r="S263" s="92" t="s">
        <v>2056</v>
      </c>
      <c r="T263" s="92" t="s">
        <v>2057</v>
      </c>
      <c r="U263" s="92"/>
      <c r="V263" s="92"/>
      <c r="W263" s="92"/>
      <c r="X263" s="92"/>
      <c r="Y263" s="92" t="s">
        <v>606</v>
      </c>
      <c r="Z263" s="92" t="s">
        <v>770</v>
      </c>
      <c r="AA263" s="92" t="s">
        <v>1236</v>
      </c>
      <c r="AB263" s="92" t="s">
        <v>778</v>
      </c>
      <c r="AC263" s="92" t="s">
        <v>788</v>
      </c>
      <c r="AD263" s="92" t="s">
        <v>2058</v>
      </c>
      <c r="AE263" s="92"/>
      <c r="AF263" s="92"/>
    </row>
    <row r="264" spans="1:32" ht="12.75" customHeight="1">
      <c r="A264" s="92" t="s">
        <v>846</v>
      </c>
      <c r="B264" s="92" t="s">
        <v>609</v>
      </c>
      <c r="C264" s="92" t="s">
        <v>922</v>
      </c>
      <c r="D264" s="92"/>
      <c r="E264" s="92" t="s">
        <v>775</v>
      </c>
      <c r="F264" s="92"/>
      <c r="G264" s="263">
        <v>9912687</v>
      </c>
      <c r="H264" s="263">
        <v>3856838</v>
      </c>
      <c r="I264" s="156" t="s">
        <v>776</v>
      </c>
      <c r="J264" s="263">
        <v>7</v>
      </c>
      <c r="K264" s="263">
        <v>21</v>
      </c>
      <c r="L264" s="96">
        <v>30000.3</v>
      </c>
      <c r="M264" s="100">
        <v>44408</v>
      </c>
      <c r="N264" s="100">
        <v>44399</v>
      </c>
      <c r="O264" s="100">
        <v>44399</v>
      </c>
      <c r="P264" s="92" t="s">
        <v>777</v>
      </c>
      <c r="Q264" s="92" t="s">
        <v>2054</v>
      </c>
      <c r="R264" s="92"/>
      <c r="S264" s="92" t="s">
        <v>2056</v>
      </c>
      <c r="T264" s="92" t="s">
        <v>2059</v>
      </c>
      <c r="U264" s="92"/>
      <c r="V264" s="92"/>
      <c r="W264" s="92"/>
      <c r="X264" s="92"/>
      <c r="Y264" s="92" t="s">
        <v>606</v>
      </c>
      <c r="Z264" s="92" t="s">
        <v>770</v>
      </c>
      <c r="AA264" s="92" t="s">
        <v>778</v>
      </c>
      <c r="AB264" s="92" t="s">
        <v>778</v>
      </c>
      <c r="AC264" s="92" t="s">
        <v>788</v>
      </c>
      <c r="AD264" s="92"/>
      <c r="AE264" s="92"/>
      <c r="AF264" s="92"/>
    </row>
    <row r="265" spans="1:32" ht="12.75" customHeight="1">
      <c r="A265" s="92" t="s">
        <v>846</v>
      </c>
      <c r="B265" s="92" t="s">
        <v>1154</v>
      </c>
      <c r="C265" s="92" t="s">
        <v>922</v>
      </c>
      <c r="D265" s="92"/>
      <c r="E265" s="92" t="s">
        <v>768</v>
      </c>
      <c r="F265" s="92"/>
      <c r="G265" s="263">
        <v>9915079</v>
      </c>
      <c r="H265" s="263">
        <v>1402311</v>
      </c>
      <c r="I265" s="156" t="s">
        <v>769</v>
      </c>
      <c r="J265" s="263">
        <v>7</v>
      </c>
      <c r="K265" s="263">
        <v>21</v>
      </c>
      <c r="L265" s="96">
        <v>-13946.04</v>
      </c>
      <c r="M265" s="100">
        <v>44371</v>
      </c>
      <c r="N265" s="100">
        <v>44405</v>
      </c>
      <c r="O265" s="100">
        <v>44405</v>
      </c>
      <c r="P265" s="92" t="s">
        <v>774</v>
      </c>
      <c r="Q265" s="92" t="s">
        <v>2060</v>
      </c>
      <c r="R265" s="92" t="s">
        <v>2061</v>
      </c>
      <c r="S265" s="92" t="s">
        <v>2062</v>
      </c>
      <c r="T265" s="92" t="s">
        <v>2063</v>
      </c>
      <c r="U265" s="92"/>
      <c r="V265" s="92"/>
      <c r="W265" s="92"/>
      <c r="X265" s="92"/>
      <c r="Y265" s="92" t="s">
        <v>606</v>
      </c>
      <c r="Z265" s="92" t="s">
        <v>770</v>
      </c>
      <c r="AA265" s="92" t="s">
        <v>1236</v>
      </c>
      <c r="AB265" s="92" t="s">
        <v>778</v>
      </c>
      <c r="AC265" s="92" t="s">
        <v>1155</v>
      </c>
      <c r="AD265" s="92" t="s">
        <v>2064</v>
      </c>
      <c r="AE265" s="92"/>
      <c r="AF265" s="92"/>
    </row>
    <row r="266" spans="1:32" ht="12.75" customHeight="1">
      <c r="A266" s="92" t="s">
        <v>846</v>
      </c>
      <c r="B266" s="92" t="s">
        <v>1154</v>
      </c>
      <c r="C266" s="92" t="s">
        <v>922</v>
      </c>
      <c r="D266" s="92"/>
      <c r="E266" s="92" t="s">
        <v>768</v>
      </c>
      <c r="F266" s="92"/>
      <c r="G266" s="263">
        <v>9915079</v>
      </c>
      <c r="H266" s="263">
        <v>1402311</v>
      </c>
      <c r="I266" s="156" t="s">
        <v>769</v>
      </c>
      <c r="J266" s="263">
        <v>7</v>
      </c>
      <c r="K266" s="263">
        <v>21</v>
      </c>
      <c r="L266" s="96">
        <v>19320</v>
      </c>
      <c r="M266" s="100">
        <v>44371</v>
      </c>
      <c r="N266" s="100">
        <v>44405</v>
      </c>
      <c r="O266" s="100">
        <v>44405</v>
      </c>
      <c r="P266" s="92" t="s">
        <v>2065</v>
      </c>
      <c r="Q266" s="92" t="s">
        <v>2060</v>
      </c>
      <c r="R266" s="92" t="s">
        <v>2061</v>
      </c>
      <c r="S266" s="92" t="s">
        <v>2062</v>
      </c>
      <c r="T266" s="92" t="s">
        <v>2063</v>
      </c>
      <c r="U266" s="92"/>
      <c r="V266" s="92"/>
      <c r="W266" s="92"/>
      <c r="X266" s="92"/>
      <c r="Y266" s="92" t="s">
        <v>606</v>
      </c>
      <c r="Z266" s="92" t="s">
        <v>770</v>
      </c>
      <c r="AA266" s="92" t="s">
        <v>1236</v>
      </c>
      <c r="AB266" s="92" t="s">
        <v>778</v>
      </c>
      <c r="AC266" s="92" t="s">
        <v>1155</v>
      </c>
      <c r="AD266" s="92" t="s">
        <v>2064</v>
      </c>
      <c r="AE266" s="92"/>
      <c r="AF266" s="92"/>
    </row>
    <row r="267" spans="1:32" ht="12.75" customHeight="1">
      <c r="A267" s="92" t="s">
        <v>846</v>
      </c>
      <c r="B267" s="92" t="s">
        <v>67</v>
      </c>
      <c r="C267" s="92" t="s">
        <v>922</v>
      </c>
      <c r="D267" s="92"/>
      <c r="E267" s="92" t="s">
        <v>49</v>
      </c>
      <c r="F267" s="92"/>
      <c r="G267" s="263">
        <v>9916030</v>
      </c>
      <c r="H267" s="263">
        <v>18273590</v>
      </c>
      <c r="I267" s="156" t="s">
        <v>772</v>
      </c>
      <c r="J267" s="263">
        <v>7</v>
      </c>
      <c r="K267" s="263">
        <v>21</v>
      </c>
      <c r="L267" s="96">
        <v>-50000</v>
      </c>
      <c r="M267" s="100">
        <v>44378</v>
      </c>
      <c r="N267" s="100">
        <v>44378</v>
      </c>
      <c r="O267" s="100">
        <v>44406</v>
      </c>
      <c r="P267" s="92" t="s">
        <v>1073</v>
      </c>
      <c r="Q267" s="92" t="s">
        <v>2066</v>
      </c>
      <c r="R267" s="92"/>
      <c r="S267" s="92">
        <v>0</v>
      </c>
      <c r="T267" s="92" t="s">
        <v>1421</v>
      </c>
      <c r="U267" s="92"/>
      <c r="V267" s="92"/>
      <c r="W267" s="92" t="s">
        <v>773</v>
      </c>
      <c r="X267" s="92"/>
      <c r="Y267" s="92" t="s">
        <v>606</v>
      </c>
      <c r="Z267" s="92" t="s">
        <v>770</v>
      </c>
      <c r="AA267" s="92" t="s">
        <v>1252</v>
      </c>
      <c r="AB267" s="92" t="s">
        <v>778</v>
      </c>
      <c r="AC267" s="92" t="s">
        <v>790</v>
      </c>
      <c r="AD267" s="92" t="s">
        <v>1074</v>
      </c>
      <c r="AE267" s="92"/>
      <c r="AF267" s="92"/>
    </row>
    <row r="268" spans="1:32" ht="12.75" customHeight="1">
      <c r="A268" s="92" t="s">
        <v>892</v>
      </c>
      <c r="B268" s="92" t="s">
        <v>50</v>
      </c>
      <c r="C268" s="92" t="s">
        <v>922</v>
      </c>
      <c r="D268" s="92"/>
      <c r="E268" s="92" t="s">
        <v>768</v>
      </c>
      <c r="F268" s="92"/>
      <c r="G268" s="263">
        <v>9904537</v>
      </c>
      <c r="H268" s="263">
        <v>1399406</v>
      </c>
      <c r="I268" s="156" t="s">
        <v>769</v>
      </c>
      <c r="J268" s="263">
        <v>7</v>
      </c>
      <c r="K268" s="263">
        <v>21</v>
      </c>
      <c r="L268" s="96">
        <v>85000</v>
      </c>
      <c r="M268" s="100">
        <v>44344</v>
      </c>
      <c r="N268" s="100">
        <v>44379</v>
      </c>
      <c r="O268" s="100">
        <v>44379</v>
      </c>
      <c r="P268" s="92" t="s">
        <v>2067</v>
      </c>
      <c r="Q268" s="92" t="s">
        <v>1879</v>
      </c>
      <c r="R268" s="92" t="s">
        <v>2068</v>
      </c>
      <c r="S268" s="92" t="s">
        <v>2069</v>
      </c>
      <c r="T268" s="92" t="s">
        <v>2070</v>
      </c>
      <c r="U268" s="92"/>
      <c r="V268" s="92"/>
      <c r="W268" s="92"/>
      <c r="X268" s="92"/>
      <c r="Y268" s="92" t="s">
        <v>606</v>
      </c>
      <c r="Z268" s="92" t="s">
        <v>770</v>
      </c>
      <c r="AA268" s="92" t="s">
        <v>1236</v>
      </c>
      <c r="AB268" s="92" t="s">
        <v>778</v>
      </c>
      <c r="AC268" s="92" t="s">
        <v>925</v>
      </c>
      <c r="AD268" s="92" t="s">
        <v>2071</v>
      </c>
      <c r="AE268" s="92"/>
      <c r="AF268" s="92"/>
    </row>
    <row r="269" spans="1:32" ht="12.75" customHeight="1">
      <c r="A269" s="92" t="s">
        <v>892</v>
      </c>
      <c r="B269" s="92" t="s">
        <v>1023</v>
      </c>
      <c r="C269" s="92" t="s">
        <v>922</v>
      </c>
      <c r="D269" s="92"/>
      <c r="E269" s="92" t="s">
        <v>768</v>
      </c>
      <c r="F269" s="92"/>
      <c r="G269" s="263">
        <v>9912232</v>
      </c>
      <c r="H269" s="263">
        <v>1401264</v>
      </c>
      <c r="I269" s="156" t="s">
        <v>769</v>
      </c>
      <c r="J269" s="263">
        <v>7</v>
      </c>
      <c r="K269" s="263">
        <v>21</v>
      </c>
      <c r="L269" s="96">
        <v>100000</v>
      </c>
      <c r="M269" s="100">
        <v>44390</v>
      </c>
      <c r="N269" s="100">
        <v>44398</v>
      </c>
      <c r="O269" s="100">
        <v>44398</v>
      </c>
      <c r="P269" s="92" t="s">
        <v>2072</v>
      </c>
      <c r="Q269" s="92" t="s">
        <v>716</v>
      </c>
      <c r="R269" s="92" t="s">
        <v>2073</v>
      </c>
      <c r="S269" s="92" t="s">
        <v>1995</v>
      </c>
      <c r="T269" s="92" t="s">
        <v>1677</v>
      </c>
      <c r="U269" s="92"/>
      <c r="V269" s="92"/>
      <c r="W269" s="92"/>
      <c r="X269" s="92"/>
      <c r="Y269" s="92" t="s">
        <v>606</v>
      </c>
      <c r="Z269" s="92" t="s">
        <v>770</v>
      </c>
      <c r="AA269" s="92" t="s">
        <v>1236</v>
      </c>
      <c r="AB269" s="92" t="s">
        <v>778</v>
      </c>
      <c r="AC269" s="92" t="s">
        <v>1024</v>
      </c>
      <c r="AD269" s="92" t="s">
        <v>1675</v>
      </c>
      <c r="AE269" s="92"/>
      <c r="AF269" s="92"/>
    </row>
    <row r="270" spans="1:32" ht="12.75" customHeight="1">
      <c r="A270" s="92" t="s">
        <v>892</v>
      </c>
      <c r="B270" s="92" t="s">
        <v>62</v>
      </c>
      <c r="C270" s="92" t="s">
        <v>922</v>
      </c>
      <c r="D270" s="92"/>
      <c r="E270" s="92" t="s">
        <v>768</v>
      </c>
      <c r="F270" s="92"/>
      <c r="G270" s="263">
        <v>9903833</v>
      </c>
      <c r="H270" s="263">
        <v>1399101</v>
      </c>
      <c r="I270" s="156" t="s">
        <v>769</v>
      </c>
      <c r="J270" s="263">
        <v>7</v>
      </c>
      <c r="K270" s="263">
        <v>21</v>
      </c>
      <c r="L270" s="96">
        <v>900000</v>
      </c>
      <c r="M270" s="100">
        <v>44369</v>
      </c>
      <c r="N270" s="100">
        <v>44378</v>
      </c>
      <c r="O270" s="100">
        <v>44378</v>
      </c>
      <c r="P270" s="92" t="s">
        <v>1686</v>
      </c>
      <c r="Q270" s="92" t="s">
        <v>802</v>
      </c>
      <c r="R270" s="92" t="s">
        <v>2074</v>
      </c>
      <c r="S270" s="92" t="s">
        <v>1688</v>
      </c>
      <c r="T270" s="92" t="s">
        <v>1689</v>
      </c>
      <c r="U270" s="92"/>
      <c r="V270" s="92"/>
      <c r="W270" s="92"/>
      <c r="X270" s="92"/>
      <c r="Y270" s="92" t="s">
        <v>606</v>
      </c>
      <c r="Z270" s="92" t="s">
        <v>770</v>
      </c>
      <c r="AA270" s="92" t="s">
        <v>1236</v>
      </c>
      <c r="AB270" s="92" t="s">
        <v>778</v>
      </c>
      <c r="AC270" s="92" t="s">
        <v>914</v>
      </c>
      <c r="AD270" s="92" t="s">
        <v>1685</v>
      </c>
      <c r="AE270" s="92"/>
      <c r="AF270" s="92"/>
    </row>
    <row r="271" spans="1:32" ht="12.75" customHeight="1">
      <c r="A271" s="92" t="s">
        <v>620</v>
      </c>
      <c r="B271" s="92" t="s">
        <v>71</v>
      </c>
      <c r="C271" s="92" t="s">
        <v>922</v>
      </c>
      <c r="D271" s="92"/>
      <c r="E271" s="92" t="s">
        <v>49</v>
      </c>
      <c r="F271" s="92" t="s">
        <v>652</v>
      </c>
      <c r="G271" s="263">
        <v>9884047</v>
      </c>
      <c r="H271" s="263">
        <v>18259995</v>
      </c>
      <c r="I271" s="156" t="s">
        <v>772</v>
      </c>
      <c r="J271" s="263">
        <v>7</v>
      </c>
      <c r="K271" s="263">
        <v>21</v>
      </c>
      <c r="L271" s="96">
        <v>20000</v>
      </c>
      <c r="M271" s="100">
        <v>44377</v>
      </c>
      <c r="N271" s="100">
        <v>44378</v>
      </c>
      <c r="O271" s="100">
        <v>44334</v>
      </c>
      <c r="P271" s="92" t="s">
        <v>1853</v>
      </c>
      <c r="Q271" s="92" t="s">
        <v>1854</v>
      </c>
      <c r="R271" s="92"/>
      <c r="S271" s="92">
        <v>0</v>
      </c>
      <c r="T271" s="92" t="s">
        <v>1971</v>
      </c>
      <c r="U271" s="92"/>
      <c r="V271" s="92"/>
      <c r="W271" s="92"/>
      <c r="X271" s="92"/>
      <c r="Y271" s="92" t="s">
        <v>606</v>
      </c>
      <c r="Z271" s="92" t="s">
        <v>770</v>
      </c>
      <c r="AA271" s="92" t="s">
        <v>1855</v>
      </c>
      <c r="AB271" s="92" t="s">
        <v>778</v>
      </c>
      <c r="AC271" s="92" t="s">
        <v>910</v>
      </c>
      <c r="AD271" s="92"/>
      <c r="AE271" s="92"/>
      <c r="AF271" s="92"/>
    </row>
    <row r="272" spans="1:32" ht="12.75" customHeight="1">
      <c r="A272" s="92" t="s">
        <v>620</v>
      </c>
      <c r="B272" s="92" t="s">
        <v>71</v>
      </c>
      <c r="C272" s="92" t="s">
        <v>922</v>
      </c>
      <c r="D272" s="92"/>
      <c r="E272" s="92" t="s">
        <v>768</v>
      </c>
      <c r="F272" s="92"/>
      <c r="G272" s="263">
        <v>9910598</v>
      </c>
      <c r="H272" s="263">
        <v>1400965</v>
      </c>
      <c r="I272" s="156" t="s">
        <v>769</v>
      </c>
      <c r="J272" s="263">
        <v>7</v>
      </c>
      <c r="K272" s="263">
        <v>21</v>
      </c>
      <c r="L272" s="96">
        <v>20000</v>
      </c>
      <c r="M272" s="100">
        <v>44210</v>
      </c>
      <c r="N272" s="100">
        <v>44393</v>
      </c>
      <c r="O272" s="100">
        <v>44393</v>
      </c>
      <c r="P272" s="92" t="s">
        <v>2075</v>
      </c>
      <c r="Q272" s="92" t="s">
        <v>76</v>
      </c>
      <c r="R272" s="92" t="s">
        <v>2076</v>
      </c>
      <c r="S272" s="92" t="s">
        <v>813</v>
      </c>
      <c r="T272" s="92" t="s">
        <v>2077</v>
      </c>
      <c r="U272" s="92"/>
      <c r="V272" s="92"/>
      <c r="W272" s="92"/>
      <c r="X272" s="92"/>
      <c r="Y272" s="92" t="s">
        <v>606</v>
      </c>
      <c r="Z272" s="92" t="s">
        <v>770</v>
      </c>
      <c r="AA272" s="92" t="s">
        <v>1236</v>
      </c>
      <c r="AB272" s="92" t="s">
        <v>778</v>
      </c>
      <c r="AC272" s="92" t="s">
        <v>910</v>
      </c>
      <c r="AD272" s="92" t="s">
        <v>2078</v>
      </c>
      <c r="AE272" s="92"/>
      <c r="AF272" s="92"/>
    </row>
    <row r="273" spans="1:32" ht="12.75" customHeight="1">
      <c r="A273" s="92" t="s">
        <v>620</v>
      </c>
      <c r="B273" s="92" t="s">
        <v>57</v>
      </c>
      <c r="C273" s="92" t="s">
        <v>922</v>
      </c>
      <c r="D273" s="92"/>
      <c r="E273" s="92" t="s">
        <v>775</v>
      </c>
      <c r="F273" s="92"/>
      <c r="G273" s="263">
        <v>9902033</v>
      </c>
      <c r="H273" s="263">
        <v>3843599</v>
      </c>
      <c r="I273" s="156" t="s">
        <v>776</v>
      </c>
      <c r="J273" s="263">
        <v>7</v>
      </c>
      <c r="K273" s="263">
        <v>21</v>
      </c>
      <c r="L273" s="96">
        <v>7594.24</v>
      </c>
      <c r="M273" s="100">
        <v>44408</v>
      </c>
      <c r="N273" s="100">
        <v>44378</v>
      </c>
      <c r="O273" s="100">
        <v>44373</v>
      </c>
      <c r="P273" s="92" t="s">
        <v>777</v>
      </c>
      <c r="Q273" s="92" t="s">
        <v>1765</v>
      </c>
      <c r="R273" s="92" t="s">
        <v>2079</v>
      </c>
      <c r="S273" s="92" t="s">
        <v>791</v>
      </c>
      <c r="T273" s="92" t="s">
        <v>2080</v>
      </c>
      <c r="U273" s="92"/>
      <c r="V273" s="92"/>
      <c r="W273" s="92"/>
      <c r="X273" s="92"/>
      <c r="Y273" s="92" t="s">
        <v>606</v>
      </c>
      <c r="Z273" s="92" t="s">
        <v>770</v>
      </c>
      <c r="AA273" s="92" t="s">
        <v>778</v>
      </c>
      <c r="AB273" s="92" t="s">
        <v>778</v>
      </c>
      <c r="AC273" s="92" t="s">
        <v>932</v>
      </c>
      <c r="AD273" s="92"/>
      <c r="AE273" s="92"/>
      <c r="AF273" s="92"/>
    </row>
    <row r="274" spans="1:32" ht="12.75" customHeight="1">
      <c r="A274" s="92" t="s">
        <v>620</v>
      </c>
      <c r="B274" s="92" t="s">
        <v>57</v>
      </c>
      <c r="C274" s="92" t="s">
        <v>922</v>
      </c>
      <c r="D274" s="92"/>
      <c r="E274" s="92" t="s">
        <v>49</v>
      </c>
      <c r="F274" s="92" t="s">
        <v>768</v>
      </c>
      <c r="G274" s="263">
        <v>9902199</v>
      </c>
      <c r="H274" s="263">
        <v>18269794</v>
      </c>
      <c r="I274" s="156" t="s">
        <v>772</v>
      </c>
      <c r="J274" s="263">
        <v>7</v>
      </c>
      <c r="K274" s="263">
        <v>21</v>
      </c>
      <c r="L274" s="96">
        <v>-200000</v>
      </c>
      <c r="M274" s="100">
        <v>44408</v>
      </c>
      <c r="N274" s="100">
        <v>44408</v>
      </c>
      <c r="O274" s="100">
        <v>44375</v>
      </c>
      <c r="P274" s="92"/>
      <c r="Q274" s="92" t="s">
        <v>2081</v>
      </c>
      <c r="R274" s="92"/>
      <c r="S274" s="92">
        <v>0</v>
      </c>
      <c r="T274" s="92" t="s">
        <v>2082</v>
      </c>
      <c r="U274" s="92"/>
      <c r="V274" s="92"/>
      <c r="W274" s="92" t="s">
        <v>1251</v>
      </c>
      <c r="X274" s="92"/>
      <c r="Y274" s="92" t="s">
        <v>606</v>
      </c>
      <c r="Z274" s="92" t="s">
        <v>770</v>
      </c>
      <c r="AA274" s="92" t="s">
        <v>1772</v>
      </c>
      <c r="AB274" s="92" t="s">
        <v>778</v>
      </c>
      <c r="AC274" s="92" t="s">
        <v>932</v>
      </c>
      <c r="AD274" s="92" t="s">
        <v>2083</v>
      </c>
      <c r="AE274" s="92"/>
      <c r="AF274" s="92"/>
    </row>
    <row r="275" spans="1:32" ht="12.75" customHeight="1">
      <c r="A275" s="92" t="s">
        <v>620</v>
      </c>
      <c r="B275" s="92" t="s">
        <v>57</v>
      </c>
      <c r="C275" s="92" t="s">
        <v>922</v>
      </c>
      <c r="D275" s="92"/>
      <c r="E275" s="92" t="s">
        <v>49</v>
      </c>
      <c r="F275" s="92" t="s">
        <v>768</v>
      </c>
      <c r="G275" s="263">
        <v>9902199</v>
      </c>
      <c r="H275" s="263">
        <v>18269794</v>
      </c>
      <c r="I275" s="156" t="s">
        <v>772</v>
      </c>
      <c r="J275" s="263">
        <v>7</v>
      </c>
      <c r="K275" s="263">
        <v>21</v>
      </c>
      <c r="L275" s="96">
        <v>200000</v>
      </c>
      <c r="M275" s="100">
        <v>44408</v>
      </c>
      <c r="N275" s="100">
        <v>44408</v>
      </c>
      <c r="O275" s="100">
        <v>44375</v>
      </c>
      <c r="P275" s="92"/>
      <c r="Q275" s="92" t="s">
        <v>2081</v>
      </c>
      <c r="R275" s="92"/>
      <c r="S275" s="92">
        <v>0</v>
      </c>
      <c r="T275" s="92" t="s">
        <v>2082</v>
      </c>
      <c r="U275" s="92"/>
      <c r="V275" s="92"/>
      <c r="W275" s="92" t="s">
        <v>1251</v>
      </c>
      <c r="X275" s="92"/>
      <c r="Y275" s="92" t="s">
        <v>606</v>
      </c>
      <c r="Z275" s="92" t="s">
        <v>770</v>
      </c>
      <c r="AA275" s="92" t="s">
        <v>1772</v>
      </c>
      <c r="AB275" s="92" t="s">
        <v>778</v>
      </c>
      <c r="AC275" s="92" t="s">
        <v>932</v>
      </c>
      <c r="AD275" s="92" t="s">
        <v>2083</v>
      </c>
      <c r="AE275" s="92"/>
      <c r="AF275" s="92"/>
    </row>
    <row r="276" spans="1:32" ht="12.75" customHeight="1">
      <c r="A276" s="92" t="s">
        <v>620</v>
      </c>
      <c r="B276" s="92" t="s">
        <v>57</v>
      </c>
      <c r="C276" s="92" t="s">
        <v>922</v>
      </c>
      <c r="D276" s="92"/>
      <c r="E276" s="92" t="s">
        <v>49</v>
      </c>
      <c r="F276" s="92"/>
      <c r="G276" s="263">
        <v>9908254</v>
      </c>
      <c r="H276" s="263">
        <v>18271545</v>
      </c>
      <c r="I276" s="156" t="s">
        <v>772</v>
      </c>
      <c r="J276" s="263">
        <v>7</v>
      </c>
      <c r="K276" s="263">
        <v>21</v>
      </c>
      <c r="L276" s="96">
        <v>-200000</v>
      </c>
      <c r="M276" s="100">
        <v>44408</v>
      </c>
      <c r="N276" s="100">
        <v>44408</v>
      </c>
      <c r="O276" s="100">
        <v>44390</v>
      </c>
      <c r="P276" s="92" t="s">
        <v>2084</v>
      </c>
      <c r="Q276" s="92" t="s">
        <v>2081</v>
      </c>
      <c r="R276" s="92"/>
      <c r="S276" s="92">
        <v>0</v>
      </c>
      <c r="T276" s="92" t="s">
        <v>2082</v>
      </c>
      <c r="U276" s="92"/>
      <c r="V276" s="92"/>
      <c r="W276" s="92" t="s">
        <v>1251</v>
      </c>
      <c r="X276" s="92"/>
      <c r="Y276" s="92" t="s">
        <v>606</v>
      </c>
      <c r="Z276" s="92" t="s">
        <v>770</v>
      </c>
      <c r="AA276" s="92" t="s">
        <v>1772</v>
      </c>
      <c r="AB276" s="92" t="s">
        <v>778</v>
      </c>
      <c r="AC276" s="92" t="s">
        <v>932</v>
      </c>
      <c r="AD276" s="92" t="s">
        <v>2083</v>
      </c>
      <c r="AE276" s="92"/>
      <c r="AF276" s="92"/>
    </row>
    <row r="277" spans="1:32" ht="12.75" customHeight="1">
      <c r="A277" s="92" t="s">
        <v>620</v>
      </c>
      <c r="B277" s="92" t="s">
        <v>57</v>
      </c>
      <c r="C277" s="92" t="s">
        <v>922</v>
      </c>
      <c r="D277" s="92"/>
      <c r="E277" s="92" t="s">
        <v>49</v>
      </c>
      <c r="F277" s="92"/>
      <c r="G277" s="263">
        <v>9908261</v>
      </c>
      <c r="H277" s="263">
        <v>18271550</v>
      </c>
      <c r="I277" s="156" t="s">
        <v>772</v>
      </c>
      <c r="J277" s="263">
        <v>7</v>
      </c>
      <c r="K277" s="263">
        <v>21</v>
      </c>
      <c r="L277" s="96">
        <v>-50000</v>
      </c>
      <c r="M277" s="100">
        <v>44408</v>
      </c>
      <c r="N277" s="100">
        <v>44408</v>
      </c>
      <c r="O277" s="100">
        <v>44390</v>
      </c>
      <c r="P277" s="92" t="s">
        <v>2085</v>
      </c>
      <c r="Q277" s="92" t="s">
        <v>2086</v>
      </c>
      <c r="R277" s="92"/>
      <c r="S277" s="92">
        <v>0</v>
      </c>
      <c r="T277" s="92" t="s">
        <v>2087</v>
      </c>
      <c r="U277" s="92"/>
      <c r="V277" s="92"/>
      <c r="W277" s="92" t="s">
        <v>1251</v>
      </c>
      <c r="X277" s="92"/>
      <c r="Y277" s="92" t="s">
        <v>606</v>
      </c>
      <c r="Z277" s="92" t="s">
        <v>770</v>
      </c>
      <c r="AA277" s="92" t="s">
        <v>1772</v>
      </c>
      <c r="AB277" s="92" t="s">
        <v>778</v>
      </c>
      <c r="AC277" s="92" t="s">
        <v>932</v>
      </c>
      <c r="AD277" s="92" t="s">
        <v>2088</v>
      </c>
      <c r="AE277" s="92"/>
      <c r="AF277" s="92"/>
    </row>
    <row r="278" spans="1:32" ht="12.75" customHeight="1">
      <c r="A278" s="92" t="s">
        <v>620</v>
      </c>
      <c r="B278" s="92" t="s">
        <v>59</v>
      </c>
      <c r="C278" s="92" t="s">
        <v>922</v>
      </c>
      <c r="D278" s="92"/>
      <c r="E278" s="92" t="s">
        <v>49</v>
      </c>
      <c r="F278" s="92" t="s">
        <v>652</v>
      </c>
      <c r="G278" s="263">
        <v>9884106</v>
      </c>
      <c r="H278" s="263">
        <v>18260068</v>
      </c>
      <c r="I278" s="156" t="s">
        <v>772</v>
      </c>
      <c r="J278" s="263">
        <v>7</v>
      </c>
      <c r="K278" s="263">
        <v>21</v>
      </c>
      <c r="L278" s="96">
        <v>75000</v>
      </c>
      <c r="M278" s="100">
        <v>44377</v>
      </c>
      <c r="N278" s="100">
        <v>44378</v>
      </c>
      <c r="O278" s="100">
        <v>44334</v>
      </c>
      <c r="P278" s="92" t="s">
        <v>1864</v>
      </c>
      <c r="Q278" s="92" t="s">
        <v>1865</v>
      </c>
      <c r="R278" s="92"/>
      <c r="S278" s="92">
        <v>0</v>
      </c>
      <c r="T278" s="92" t="s">
        <v>1866</v>
      </c>
      <c r="U278" s="92"/>
      <c r="V278" s="92"/>
      <c r="W278" s="92"/>
      <c r="X278" s="92"/>
      <c r="Y278" s="92" t="s">
        <v>606</v>
      </c>
      <c r="Z278" s="92" t="s">
        <v>770</v>
      </c>
      <c r="AA278" s="92" t="s">
        <v>1855</v>
      </c>
      <c r="AB278" s="92" t="s">
        <v>778</v>
      </c>
      <c r="AC278" s="92" t="s">
        <v>909</v>
      </c>
      <c r="AD278" s="92"/>
      <c r="AE278" s="92"/>
      <c r="AF278" s="92"/>
    </row>
    <row r="279" spans="1:32" ht="12.75" customHeight="1">
      <c r="A279" s="92" t="s">
        <v>620</v>
      </c>
      <c r="B279" s="92" t="s">
        <v>59</v>
      </c>
      <c r="C279" s="92" t="s">
        <v>922</v>
      </c>
      <c r="D279" s="92"/>
      <c r="E279" s="92" t="s">
        <v>768</v>
      </c>
      <c r="F279" s="92"/>
      <c r="G279" s="263">
        <v>9910545</v>
      </c>
      <c r="H279" s="263">
        <v>1400914</v>
      </c>
      <c r="I279" s="156" t="s">
        <v>769</v>
      </c>
      <c r="J279" s="263">
        <v>7</v>
      </c>
      <c r="K279" s="263">
        <v>21</v>
      </c>
      <c r="L279" s="96">
        <v>75000</v>
      </c>
      <c r="M279" s="100">
        <v>44327</v>
      </c>
      <c r="N279" s="100">
        <v>44393</v>
      </c>
      <c r="O279" s="100">
        <v>44393</v>
      </c>
      <c r="P279" s="92" t="s">
        <v>1703</v>
      </c>
      <c r="Q279" s="92" t="s">
        <v>917</v>
      </c>
      <c r="R279" s="92" t="s">
        <v>2089</v>
      </c>
      <c r="S279" s="92" t="s">
        <v>1705</v>
      </c>
      <c r="T279" s="92" t="s">
        <v>2090</v>
      </c>
      <c r="U279" s="92"/>
      <c r="V279" s="92"/>
      <c r="W279" s="92"/>
      <c r="X279" s="92"/>
      <c r="Y279" s="92" t="s">
        <v>606</v>
      </c>
      <c r="Z279" s="92" t="s">
        <v>770</v>
      </c>
      <c r="AA279" s="92" t="s">
        <v>1236</v>
      </c>
      <c r="AB279" s="92" t="s">
        <v>778</v>
      </c>
      <c r="AC279" s="92" t="s">
        <v>909</v>
      </c>
      <c r="AD279" s="92" t="s">
        <v>1702</v>
      </c>
      <c r="AE279" s="92"/>
      <c r="AF279" s="92"/>
    </row>
    <row r="280" spans="1:32" ht="12.75" customHeight="1">
      <c r="A280" s="92" t="s">
        <v>620</v>
      </c>
      <c r="B280" s="92" t="s">
        <v>59</v>
      </c>
      <c r="C280" s="92" t="s">
        <v>922</v>
      </c>
      <c r="D280" s="92"/>
      <c r="E280" s="92" t="s">
        <v>49</v>
      </c>
      <c r="F280" s="92"/>
      <c r="G280" s="263">
        <v>9917827</v>
      </c>
      <c r="H280" s="263">
        <v>18341310</v>
      </c>
      <c r="I280" s="156" t="s">
        <v>772</v>
      </c>
      <c r="J280" s="263">
        <v>7</v>
      </c>
      <c r="K280" s="263">
        <v>21</v>
      </c>
      <c r="L280" s="96">
        <v>-75000</v>
      </c>
      <c r="M280" s="100">
        <v>44408</v>
      </c>
      <c r="N280" s="100">
        <v>44408</v>
      </c>
      <c r="O280" s="100">
        <v>44411</v>
      </c>
      <c r="P280" s="92" t="s">
        <v>1864</v>
      </c>
      <c r="Q280" s="92" t="s">
        <v>2091</v>
      </c>
      <c r="R280" s="92"/>
      <c r="S280" s="92">
        <v>0</v>
      </c>
      <c r="T280" s="92" t="s">
        <v>1866</v>
      </c>
      <c r="U280" s="92"/>
      <c r="V280" s="92"/>
      <c r="W280" s="92"/>
      <c r="X280" s="92"/>
      <c r="Y280" s="92" t="s">
        <v>606</v>
      </c>
      <c r="Z280" s="92" t="s">
        <v>770</v>
      </c>
      <c r="AA280" s="92" t="s">
        <v>1346</v>
      </c>
      <c r="AB280" s="92" t="s">
        <v>1298</v>
      </c>
      <c r="AC280" s="92" t="s">
        <v>909</v>
      </c>
      <c r="AD280" s="92" t="s">
        <v>2092</v>
      </c>
      <c r="AE280" s="92"/>
      <c r="AF280" s="92"/>
    </row>
    <row r="281" spans="1:32" ht="12.75" customHeight="1">
      <c r="A281" s="92" t="s">
        <v>620</v>
      </c>
      <c r="B281" s="92" t="s">
        <v>60</v>
      </c>
      <c r="C281" s="92" t="s">
        <v>922</v>
      </c>
      <c r="D281" s="92"/>
      <c r="E281" s="92" t="s">
        <v>49</v>
      </c>
      <c r="F281" s="92" t="s">
        <v>652</v>
      </c>
      <c r="G281" s="263">
        <v>9885908</v>
      </c>
      <c r="H281" s="263">
        <v>18263007</v>
      </c>
      <c r="I281" s="156" t="s">
        <v>772</v>
      </c>
      <c r="J281" s="263">
        <v>7</v>
      </c>
      <c r="K281" s="263">
        <v>21</v>
      </c>
      <c r="L281" s="96">
        <v>55000</v>
      </c>
      <c r="M281" s="100">
        <v>44377</v>
      </c>
      <c r="N281" s="100">
        <v>44378</v>
      </c>
      <c r="O281" s="100">
        <v>44337</v>
      </c>
      <c r="P281" s="92" t="s">
        <v>1869</v>
      </c>
      <c r="Q281" s="92" t="s">
        <v>1870</v>
      </c>
      <c r="R281" s="92"/>
      <c r="S281" s="92">
        <v>0</v>
      </c>
      <c r="T281" s="92" t="s">
        <v>1871</v>
      </c>
      <c r="U281" s="92"/>
      <c r="V281" s="92"/>
      <c r="W281" s="92"/>
      <c r="X281" s="92"/>
      <c r="Y281" s="92" t="s">
        <v>606</v>
      </c>
      <c r="Z281" s="92" t="s">
        <v>770</v>
      </c>
      <c r="AA281" s="92" t="s">
        <v>1346</v>
      </c>
      <c r="AB281" s="92" t="s">
        <v>778</v>
      </c>
      <c r="AC281" s="92" t="s">
        <v>913</v>
      </c>
      <c r="AD281" s="92" t="s">
        <v>1210</v>
      </c>
      <c r="AE281" s="92"/>
      <c r="AF281" s="92"/>
    </row>
    <row r="282" spans="1:32" ht="12.75" customHeight="1">
      <c r="A282" s="92" t="s">
        <v>620</v>
      </c>
      <c r="B282" s="92" t="s">
        <v>60</v>
      </c>
      <c r="C282" s="92" t="s">
        <v>922</v>
      </c>
      <c r="D282" s="92"/>
      <c r="E282" s="92" t="s">
        <v>49</v>
      </c>
      <c r="F282" s="92" t="s">
        <v>652</v>
      </c>
      <c r="G282" s="263">
        <v>9888641</v>
      </c>
      <c r="H282" s="263">
        <v>18266706</v>
      </c>
      <c r="I282" s="156" t="s">
        <v>772</v>
      </c>
      <c r="J282" s="263">
        <v>7</v>
      </c>
      <c r="K282" s="263">
        <v>21</v>
      </c>
      <c r="L282" s="96">
        <v>-55000</v>
      </c>
      <c r="M282" s="100">
        <v>44377</v>
      </c>
      <c r="N282" s="100">
        <v>44378</v>
      </c>
      <c r="O282" s="100">
        <v>44344</v>
      </c>
      <c r="P282" s="92" t="s">
        <v>1976</v>
      </c>
      <c r="Q282" s="92" t="s">
        <v>1977</v>
      </c>
      <c r="R282" s="92"/>
      <c r="S282" s="92">
        <v>0</v>
      </c>
      <c r="T282" s="92" t="s">
        <v>1871</v>
      </c>
      <c r="U282" s="92"/>
      <c r="V282" s="92"/>
      <c r="W282" s="92"/>
      <c r="X282" s="92"/>
      <c r="Y282" s="92" t="s">
        <v>606</v>
      </c>
      <c r="Z282" s="92" t="s">
        <v>770</v>
      </c>
      <c r="AA282" s="92" t="s">
        <v>1346</v>
      </c>
      <c r="AB282" s="92" t="s">
        <v>1298</v>
      </c>
      <c r="AC282" s="92" t="s">
        <v>913</v>
      </c>
      <c r="AD282" s="92" t="s">
        <v>1210</v>
      </c>
      <c r="AE282" s="92"/>
      <c r="AF282" s="92"/>
    </row>
    <row r="283" spans="1:32" ht="12.75" customHeight="1">
      <c r="A283" s="92" t="s">
        <v>620</v>
      </c>
      <c r="B283" s="92" t="s">
        <v>55</v>
      </c>
      <c r="C283" s="92" t="s">
        <v>922</v>
      </c>
      <c r="D283" s="92"/>
      <c r="E283" s="92" t="s">
        <v>49</v>
      </c>
      <c r="F283" s="92"/>
      <c r="G283" s="263">
        <v>9892873</v>
      </c>
      <c r="H283" s="263">
        <v>18267452</v>
      </c>
      <c r="I283" s="156" t="s">
        <v>772</v>
      </c>
      <c r="J283" s="263">
        <v>7</v>
      </c>
      <c r="K283" s="263">
        <v>21</v>
      </c>
      <c r="L283" s="96">
        <v>-12564</v>
      </c>
      <c r="M283" s="100">
        <v>44378</v>
      </c>
      <c r="N283" s="100">
        <v>44378</v>
      </c>
      <c r="O283" s="100">
        <v>44351</v>
      </c>
      <c r="P283" s="92" t="s">
        <v>1777</v>
      </c>
      <c r="Q283" s="92" t="s">
        <v>1777</v>
      </c>
      <c r="R283" s="92"/>
      <c r="S283" s="92">
        <v>0</v>
      </c>
      <c r="T283" s="92" t="s">
        <v>1778</v>
      </c>
      <c r="U283" s="92"/>
      <c r="V283" s="92"/>
      <c r="W283" s="92" t="s">
        <v>773</v>
      </c>
      <c r="X283" s="92"/>
      <c r="Y283" s="92" t="s">
        <v>606</v>
      </c>
      <c r="Z283" s="92" t="s">
        <v>770</v>
      </c>
      <c r="AA283" s="92" t="s">
        <v>1252</v>
      </c>
      <c r="AB283" s="92" t="s">
        <v>1281</v>
      </c>
      <c r="AC283" s="92" t="s">
        <v>779</v>
      </c>
      <c r="AD283" s="92" t="s">
        <v>1779</v>
      </c>
      <c r="AE283" s="92"/>
      <c r="AF283" s="92"/>
    </row>
    <row r="284" spans="1:32" ht="12.75" customHeight="1">
      <c r="A284" s="92" t="s">
        <v>620</v>
      </c>
      <c r="B284" s="92" t="s">
        <v>65</v>
      </c>
      <c r="C284" s="92" t="s">
        <v>922</v>
      </c>
      <c r="D284" s="92"/>
      <c r="E284" s="92" t="s">
        <v>49</v>
      </c>
      <c r="F284" s="92" t="s">
        <v>652</v>
      </c>
      <c r="G284" s="263">
        <v>9888608</v>
      </c>
      <c r="H284" s="263">
        <v>18266695</v>
      </c>
      <c r="I284" s="156" t="s">
        <v>772</v>
      </c>
      <c r="J284" s="263">
        <v>7</v>
      </c>
      <c r="K284" s="263">
        <v>21</v>
      </c>
      <c r="L284" s="96">
        <v>175000</v>
      </c>
      <c r="M284" s="100">
        <v>44377</v>
      </c>
      <c r="N284" s="100">
        <v>44378</v>
      </c>
      <c r="O284" s="100">
        <v>44344</v>
      </c>
      <c r="P284" s="92"/>
      <c r="Q284" s="92" t="s">
        <v>1978</v>
      </c>
      <c r="R284" s="92"/>
      <c r="S284" s="92">
        <v>0</v>
      </c>
      <c r="T284" s="92" t="s">
        <v>1979</v>
      </c>
      <c r="U284" s="92"/>
      <c r="V284" s="92"/>
      <c r="W284" s="92"/>
      <c r="X284" s="92"/>
      <c r="Y284" s="92" t="s">
        <v>606</v>
      </c>
      <c r="Z284" s="92" t="s">
        <v>770</v>
      </c>
      <c r="AA284" s="92" t="s">
        <v>1272</v>
      </c>
      <c r="AB284" s="92" t="s">
        <v>1298</v>
      </c>
      <c r="AC284" s="92" t="s">
        <v>780</v>
      </c>
      <c r="AD284" s="92"/>
      <c r="AE284" s="92"/>
      <c r="AF284" s="92"/>
    </row>
    <row r="285" spans="1:32" ht="12.75" customHeight="1">
      <c r="A285" s="92" t="s">
        <v>620</v>
      </c>
      <c r="B285" s="92" t="s">
        <v>1218</v>
      </c>
      <c r="C285" s="92" t="s">
        <v>922</v>
      </c>
      <c r="D285" s="92"/>
      <c r="E285" s="92" t="s">
        <v>49</v>
      </c>
      <c r="F285" s="92"/>
      <c r="G285" s="263">
        <v>9914731</v>
      </c>
      <c r="H285" s="263">
        <v>18273402</v>
      </c>
      <c r="I285" s="156" t="s">
        <v>772</v>
      </c>
      <c r="J285" s="263">
        <v>7</v>
      </c>
      <c r="K285" s="263">
        <v>21</v>
      </c>
      <c r="L285" s="96">
        <v>-67904</v>
      </c>
      <c r="M285" s="100">
        <v>44378</v>
      </c>
      <c r="N285" s="100">
        <v>44378</v>
      </c>
      <c r="O285" s="100">
        <v>44404</v>
      </c>
      <c r="P285" s="92" t="s">
        <v>2093</v>
      </c>
      <c r="Q285" s="92" t="s">
        <v>2093</v>
      </c>
      <c r="R285" s="92"/>
      <c r="S285" s="92">
        <v>0</v>
      </c>
      <c r="T285" s="92" t="s">
        <v>2094</v>
      </c>
      <c r="U285" s="92"/>
      <c r="V285" s="92"/>
      <c r="W285" s="92" t="s">
        <v>773</v>
      </c>
      <c r="X285" s="92"/>
      <c r="Y285" s="92" t="s">
        <v>606</v>
      </c>
      <c r="Z285" s="92" t="s">
        <v>770</v>
      </c>
      <c r="AA285" s="92" t="s">
        <v>1252</v>
      </c>
      <c r="AB285" s="92" t="s">
        <v>778</v>
      </c>
      <c r="AC285" s="92" t="s">
        <v>2095</v>
      </c>
      <c r="AD285" s="92" t="s">
        <v>2096</v>
      </c>
      <c r="AE285" s="92"/>
      <c r="AF285" s="92"/>
    </row>
    <row r="286" spans="1:32" ht="12.75" customHeight="1">
      <c r="A286" s="92" t="s">
        <v>620</v>
      </c>
      <c r="B286" s="92" t="s">
        <v>1219</v>
      </c>
      <c r="C286" s="92" t="s">
        <v>922</v>
      </c>
      <c r="D286" s="92"/>
      <c r="E286" s="92" t="s">
        <v>768</v>
      </c>
      <c r="F286" s="92" t="s">
        <v>768</v>
      </c>
      <c r="G286" s="263">
        <v>9903735</v>
      </c>
      <c r="H286" s="263">
        <v>1399003</v>
      </c>
      <c r="I286" s="156" t="s">
        <v>769</v>
      </c>
      <c r="J286" s="263">
        <v>7</v>
      </c>
      <c r="K286" s="263">
        <v>21</v>
      </c>
      <c r="L286" s="96">
        <v>-112429.99</v>
      </c>
      <c r="M286" s="100">
        <v>44369</v>
      </c>
      <c r="N286" s="100">
        <v>44378</v>
      </c>
      <c r="O286" s="100">
        <v>44378</v>
      </c>
      <c r="P286" s="92" t="s">
        <v>926</v>
      </c>
      <c r="Q286" s="92" t="s">
        <v>803</v>
      </c>
      <c r="R286" s="92" t="s">
        <v>2097</v>
      </c>
      <c r="S286" s="92" t="s">
        <v>2098</v>
      </c>
      <c r="T286" s="92" t="s">
        <v>1979</v>
      </c>
      <c r="U286" s="92"/>
      <c r="V286" s="92"/>
      <c r="W286" s="92"/>
      <c r="X286" s="92"/>
      <c r="Y286" s="92" t="s">
        <v>606</v>
      </c>
      <c r="Z286" s="92" t="s">
        <v>770</v>
      </c>
      <c r="AA286" s="92" t="s">
        <v>1236</v>
      </c>
      <c r="AB286" s="92" t="s">
        <v>778</v>
      </c>
      <c r="AC286" s="92" t="s">
        <v>2099</v>
      </c>
      <c r="AD286" s="92" t="s">
        <v>2100</v>
      </c>
      <c r="AE286" s="92"/>
      <c r="AF286" s="92"/>
    </row>
    <row r="287" spans="1:32" ht="12.75" customHeight="1">
      <c r="A287" s="92" t="s">
        <v>620</v>
      </c>
      <c r="B287" s="92" t="s">
        <v>1219</v>
      </c>
      <c r="C287" s="92" t="s">
        <v>922</v>
      </c>
      <c r="D287" s="92"/>
      <c r="E287" s="92" t="s">
        <v>768</v>
      </c>
      <c r="F287" s="92" t="s">
        <v>768</v>
      </c>
      <c r="G287" s="263">
        <v>9903735</v>
      </c>
      <c r="H287" s="263">
        <v>1399003</v>
      </c>
      <c r="I287" s="156" t="s">
        <v>769</v>
      </c>
      <c r="J287" s="263">
        <v>7</v>
      </c>
      <c r="K287" s="263">
        <v>21</v>
      </c>
      <c r="L287" s="96">
        <v>112430</v>
      </c>
      <c r="M287" s="100">
        <v>44369</v>
      </c>
      <c r="N287" s="100">
        <v>44378</v>
      </c>
      <c r="O287" s="100">
        <v>44378</v>
      </c>
      <c r="P287" s="92" t="s">
        <v>2101</v>
      </c>
      <c r="Q287" s="92" t="s">
        <v>803</v>
      </c>
      <c r="R287" s="92" t="s">
        <v>2097</v>
      </c>
      <c r="S287" s="92" t="s">
        <v>2098</v>
      </c>
      <c r="T287" s="92" t="s">
        <v>1979</v>
      </c>
      <c r="U287" s="92"/>
      <c r="V287" s="92"/>
      <c r="W287" s="92"/>
      <c r="X287" s="92"/>
      <c r="Y287" s="92" t="s">
        <v>606</v>
      </c>
      <c r="Z287" s="92" t="s">
        <v>770</v>
      </c>
      <c r="AA287" s="92" t="s">
        <v>1236</v>
      </c>
      <c r="AB287" s="92" t="s">
        <v>778</v>
      </c>
      <c r="AC287" s="92" t="s">
        <v>2099</v>
      </c>
      <c r="AD287" s="92" t="s">
        <v>2100</v>
      </c>
      <c r="AE287" s="92"/>
      <c r="AF287" s="92"/>
    </row>
    <row r="288" spans="1:32" ht="12.75" customHeight="1">
      <c r="A288" s="92" t="s">
        <v>620</v>
      </c>
      <c r="B288" s="92" t="s">
        <v>1219</v>
      </c>
      <c r="C288" s="92" t="s">
        <v>922</v>
      </c>
      <c r="D288" s="92"/>
      <c r="E288" s="92" t="s">
        <v>768</v>
      </c>
      <c r="F288" s="92" t="s">
        <v>768</v>
      </c>
      <c r="G288" s="263">
        <v>9903735</v>
      </c>
      <c r="H288" s="263">
        <v>1399003</v>
      </c>
      <c r="I288" s="156" t="s">
        <v>769</v>
      </c>
      <c r="J288" s="263">
        <v>7</v>
      </c>
      <c r="K288" s="263">
        <v>21</v>
      </c>
      <c r="L288" s="96">
        <v>112429.99</v>
      </c>
      <c r="M288" s="100">
        <v>44369</v>
      </c>
      <c r="N288" s="100">
        <v>44383</v>
      </c>
      <c r="O288" s="100">
        <v>44378</v>
      </c>
      <c r="P288" s="92" t="s">
        <v>926</v>
      </c>
      <c r="Q288" s="92" t="s">
        <v>803</v>
      </c>
      <c r="R288" s="92" t="s">
        <v>2097</v>
      </c>
      <c r="S288" s="92" t="s">
        <v>2098</v>
      </c>
      <c r="T288" s="92" t="s">
        <v>1979</v>
      </c>
      <c r="U288" s="92"/>
      <c r="V288" s="92"/>
      <c r="W288" s="92"/>
      <c r="X288" s="92"/>
      <c r="Y288" s="92" t="s">
        <v>606</v>
      </c>
      <c r="Z288" s="92" t="s">
        <v>770</v>
      </c>
      <c r="AA288" s="92" t="s">
        <v>1236</v>
      </c>
      <c r="AB288" s="92" t="s">
        <v>1433</v>
      </c>
      <c r="AC288" s="92" t="s">
        <v>2099</v>
      </c>
      <c r="AD288" s="92" t="s">
        <v>2100</v>
      </c>
      <c r="AE288" s="92"/>
      <c r="AF288" s="92"/>
    </row>
    <row r="289" spans="1:32" ht="12.75" customHeight="1">
      <c r="A289" s="92" t="s">
        <v>620</v>
      </c>
      <c r="B289" s="92" t="s">
        <v>1219</v>
      </c>
      <c r="C289" s="92" t="s">
        <v>922</v>
      </c>
      <c r="D289" s="92"/>
      <c r="E289" s="92" t="s">
        <v>768</v>
      </c>
      <c r="F289" s="92" t="s">
        <v>768</v>
      </c>
      <c r="G289" s="263">
        <v>9903735</v>
      </c>
      <c r="H289" s="263">
        <v>1399003</v>
      </c>
      <c r="I289" s="156" t="s">
        <v>769</v>
      </c>
      <c r="J289" s="263">
        <v>7</v>
      </c>
      <c r="K289" s="263">
        <v>21</v>
      </c>
      <c r="L289" s="96">
        <v>-112430</v>
      </c>
      <c r="M289" s="100">
        <v>44369</v>
      </c>
      <c r="N289" s="100">
        <v>44383</v>
      </c>
      <c r="O289" s="100">
        <v>44378</v>
      </c>
      <c r="P289" s="92" t="s">
        <v>2101</v>
      </c>
      <c r="Q289" s="92" t="s">
        <v>803</v>
      </c>
      <c r="R289" s="92" t="s">
        <v>2097</v>
      </c>
      <c r="S289" s="92" t="s">
        <v>2098</v>
      </c>
      <c r="T289" s="92" t="s">
        <v>1979</v>
      </c>
      <c r="U289" s="92"/>
      <c r="V289" s="92"/>
      <c r="W289" s="92"/>
      <c r="X289" s="92"/>
      <c r="Y289" s="92" t="s">
        <v>606</v>
      </c>
      <c r="Z289" s="92" t="s">
        <v>770</v>
      </c>
      <c r="AA289" s="92" t="s">
        <v>1236</v>
      </c>
      <c r="AB289" s="92" t="s">
        <v>1433</v>
      </c>
      <c r="AC289" s="92" t="s">
        <v>2099</v>
      </c>
      <c r="AD289" s="92" t="s">
        <v>2100</v>
      </c>
      <c r="AE289" s="92"/>
      <c r="AF289" s="92"/>
    </row>
    <row r="290" spans="1:32" ht="12.75" customHeight="1">
      <c r="A290" s="98" t="s">
        <v>620</v>
      </c>
      <c r="B290" s="98" t="s">
        <v>1219</v>
      </c>
      <c r="C290" s="98" t="s">
        <v>922</v>
      </c>
      <c r="D290" s="98"/>
      <c r="E290" s="98" t="s">
        <v>775</v>
      </c>
      <c r="F290" s="98"/>
      <c r="G290" s="263">
        <v>9905758</v>
      </c>
      <c r="H290" s="263">
        <v>3850822</v>
      </c>
      <c r="I290" s="157" t="s">
        <v>776</v>
      </c>
      <c r="J290" s="263">
        <v>7</v>
      </c>
      <c r="K290" s="263">
        <v>21</v>
      </c>
      <c r="L290" s="187">
        <v>112430</v>
      </c>
      <c r="M290" s="101">
        <v>44408</v>
      </c>
      <c r="N290" s="101">
        <v>44385</v>
      </c>
      <c r="O290" s="101">
        <v>44385</v>
      </c>
      <c r="P290" s="98" t="s">
        <v>777</v>
      </c>
      <c r="Q290" s="98" t="s">
        <v>803</v>
      </c>
      <c r="R290" s="98"/>
      <c r="S290" s="98" t="s">
        <v>2098</v>
      </c>
      <c r="T290" s="98" t="s">
        <v>2102</v>
      </c>
      <c r="U290" s="98"/>
      <c r="V290" s="98"/>
      <c r="W290" s="98"/>
      <c r="X290" s="98"/>
      <c r="Y290" s="98" t="s">
        <v>606</v>
      </c>
      <c r="Z290" s="98" t="s">
        <v>770</v>
      </c>
      <c r="AA290" s="98" t="s">
        <v>778</v>
      </c>
      <c r="AB290" s="98" t="s">
        <v>778</v>
      </c>
      <c r="AC290" s="98" t="s">
        <v>2099</v>
      </c>
      <c r="AD290" s="98"/>
      <c r="AE290" s="98"/>
      <c r="AF290" s="98"/>
    </row>
    <row r="291" spans="1:32" ht="12.75" customHeight="1">
      <c r="A291" s="102" t="s">
        <v>602</v>
      </c>
      <c r="B291" s="102"/>
      <c r="C291" s="102"/>
      <c r="D291" s="102"/>
      <c r="E291" s="102"/>
      <c r="F291" s="102"/>
      <c r="G291" s="160"/>
      <c r="H291" s="160"/>
      <c r="I291" s="160"/>
      <c r="J291" s="160"/>
      <c r="K291" s="160"/>
      <c r="L291" s="186">
        <v>2156964.94</v>
      </c>
      <c r="M291" s="102"/>
      <c r="N291" s="102"/>
      <c r="O291" s="102"/>
      <c r="P291" s="102"/>
      <c r="Q291" s="102"/>
      <c r="R291" s="102"/>
      <c r="S291" s="102"/>
      <c r="T291" s="102"/>
      <c r="U291" s="102"/>
      <c r="V291" s="102"/>
      <c r="W291" s="102"/>
      <c r="X291" s="102"/>
      <c r="Y291" s="102"/>
      <c r="Z291" s="102"/>
      <c r="AA291" s="102"/>
      <c r="AB291" s="102"/>
      <c r="AC291" s="102"/>
      <c r="AD291" s="102"/>
      <c r="AE291" s="102"/>
      <c r="AF291" s="102"/>
    </row>
    <row r="293" spans="1:32" ht="31.5">
      <c r="A293" s="91" t="s">
        <v>746</v>
      </c>
      <c r="B293" s="91" t="s">
        <v>604</v>
      </c>
      <c r="C293" s="91" t="s">
        <v>747</v>
      </c>
      <c r="D293" s="91" t="s">
        <v>608</v>
      </c>
      <c r="E293" s="91" t="s">
        <v>749</v>
      </c>
      <c r="F293" s="91" t="s">
        <v>921</v>
      </c>
      <c r="G293" s="159" t="s">
        <v>748</v>
      </c>
      <c r="H293" s="159" t="s">
        <v>750</v>
      </c>
      <c r="I293" s="159" t="s">
        <v>751</v>
      </c>
      <c r="J293" s="159" t="s">
        <v>752</v>
      </c>
      <c r="K293" s="159" t="s">
        <v>753</v>
      </c>
      <c r="L293" s="91" t="s">
        <v>754</v>
      </c>
      <c r="M293" s="91" t="s">
        <v>918</v>
      </c>
      <c r="N293" s="91" t="s">
        <v>2</v>
      </c>
      <c r="O293" s="91" t="s">
        <v>755</v>
      </c>
      <c r="P293" s="91" t="s">
        <v>605</v>
      </c>
      <c r="Q293" s="91" t="s">
        <v>756</v>
      </c>
      <c r="R293" s="91" t="s">
        <v>946</v>
      </c>
      <c r="S293" s="91" t="s">
        <v>761</v>
      </c>
      <c r="T293" s="91" t="s">
        <v>760</v>
      </c>
      <c r="U293" s="91" t="s">
        <v>1361</v>
      </c>
      <c r="V293" s="91" t="s">
        <v>757</v>
      </c>
      <c r="W293" s="91" t="s">
        <v>758</v>
      </c>
      <c r="X293" s="91" t="s">
        <v>759</v>
      </c>
      <c r="Y293" s="91" t="s">
        <v>762</v>
      </c>
      <c r="Z293" s="91" t="s">
        <v>763</v>
      </c>
      <c r="AA293" s="91" t="s">
        <v>764</v>
      </c>
      <c r="AB293" s="91" t="s">
        <v>765</v>
      </c>
      <c r="AC293" s="91" t="s">
        <v>766</v>
      </c>
      <c r="AD293" s="91" t="s">
        <v>767</v>
      </c>
      <c r="AE293" s="91" t="s">
        <v>919</v>
      </c>
      <c r="AF293" s="91" t="s">
        <v>920</v>
      </c>
    </row>
    <row r="294" spans="1:32" ht="12.75" customHeight="1">
      <c r="A294" s="92" t="s">
        <v>846</v>
      </c>
      <c r="B294" s="92" t="s">
        <v>67</v>
      </c>
      <c r="C294" s="92" t="s">
        <v>922</v>
      </c>
      <c r="D294" s="92"/>
      <c r="E294" s="92" t="s">
        <v>49</v>
      </c>
      <c r="F294" s="92"/>
      <c r="G294" s="263">
        <v>9914913</v>
      </c>
      <c r="H294" s="263">
        <v>18273461</v>
      </c>
      <c r="I294" s="156" t="s">
        <v>772</v>
      </c>
      <c r="J294" s="263">
        <v>8</v>
      </c>
      <c r="K294" s="263">
        <v>21</v>
      </c>
      <c r="L294" s="96">
        <v>-5000</v>
      </c>
      <c r="M294" s="100">
        <v>44409</v>
      </c>
      <c r="N294" s="100">
        <v>44409</v>
      </c>
      <c r="O294" s="100">
        <v>44405</v>
      </c>
      <c r="P294" s="92" t="s">
        <v>1222</v>
      </c>
      <c r="Q294" s="92" t="s">
        <v>2107</v>
      </c>
      <c r="R294" s="92"/>
      <c r="S294" s="92">
        <v>0</v>
      </c>
      <c r="T294" s="92" t="s">
        <v>1927</v>
      </c>
      <c r="U294" s="92"/>
      <c r="V294" s="92"/>
      <c r="W294" s="92" t="s">
        <v>1293</v>
      </c>
      <c r="X294" s="92"/>
      <c r="Y294" s="92" t="s">
        <v>606</v>
      </c>
      <c r="Z294" s="92" t="s">
        <v>770</v>
      </c>
      <c r="AA294" s="92" t="s">
        <v>1041</v>
      </c>
      <c r="AB294" s="92" t="s">
        <v>1891</v>
      </c>
      <c r="AC294" s="92" t="s">
        <v>790</v>
      </c>
      <c r="AD294" s="92" t="s">
        <v>1928</v>
      </c>
      <c r="AE294" s="92"/>
      <c r="AF294" s="92"/>
    </row>
    <row r="295" spans="1:32" ht="12.75" customHeight="1">
      <c r="A295" s="92" t="s">
        <v>846</v>
      </c>
      <c r="B295" s="92" t="s">
        <v>67</v>
      </c>
      <c r="C295" s="92" t="s">
        <v>922</v>
      </c>
      <c r="D295" s="92"/>
      <c r="E295" s="92" t="s">
        <v>49</v>
      </c>
      <c r="F295" s="92"/>
      <c r="G295" s="263">
        <v>9915029</v>
      </c>
      <c r="H295" s="263">
        <v>18273498</v>
      </c>
      <c r="I295" s="156" t="s">
        <v>772</v>
      </c>
      <c r="J295" s="263">
        <v>8</v>
      </c>
      <c r="K295" s="263">
        <v>21</v>
      </c>
      <c r="L295" s="96">
        <v>5000</v>
      </c>
      <c r="M295" s="100">
        <v>44409</v>
      </c>
      <c r="N295" s="100">
        <v>44409</v>
      </c>
      <c r="O295" s="100">
        <v>44405</v>
      </c>
      <c r="P295" s="92" t="s">
        <v>1222</v>
      </c>
      <c r="Q295" s="92" t="s">
        <v>2108</v>
      </c>
      <c r="R295" s="92"/>
      <c r="S295" s="92">
        <v>0</v>
      </c>
      <c r="T295" s="92" t="s">
        <v>1927</v>
      </c>
      <c r="U295" s="92"/>
      <c r="V295" s="92"/>
      <c r="W295" s="92" t="s">
        <v>957</v>
      </c>
      <c r="X295" s="92"/>
      <c r="Y295" s="92" t="s">
        <v>606</v>
      </c>
      <c r="Z295" s="92" t="s">
        <v>770</v>
      </c>
      <c r="AA295" s="92" t="s">
        <v>1041</v>
      </c>
      <c r="AB295" s="92" t="s">
        <v>778</v>
      </c>
      <c r="AC295" s="92" t="s">
        <v>790</v>
      </c>
      <c r="AD295" s="92" t="s">
        <v>1928</v>
      </c>
      <c r="AE295" s="92"/>
      <c r="AF295" s="92"/>
    </row>
    <row r="296" spans="1:32" ht="12.75" customHeight="1">
      <c r="A296" s="92" t="s">
        <v>846</v>
      </c>
      <c r="B296" s="92" t="s">
        <v>1011</v>
      </c>
      <c r="C296" s="92" t="s">
        <v>922</v>
      </c>
      <c r="D296" s="92"/>
      <c r="E296" s="92" t="s">
        <v>768</v>
      </c>
      <c r="F296" s="92"/>
      <c r="G296" s="263">
        <v>9925051</v>
      </c>
      <c r="H296" s="263">
        <v>1404805</v>
      </c>
      <c r="I296" s="156" t="s">
        <v>769</v>
      </c>
      <c r="J296" s="263">
        <v>8</v>
      </c>
      <c r="K296" s="263">
        <v>21</v>
      </c>
      <c r="L296" s="96">
        <v>48017.95</v>
      </c>
      <c r="M296" s="100">
        <v>44424</v>
      </c>
      <c r="N296" s="100">
        <v>44426</v>
      </c>
      <c r="O296" s="100">
        <v>44426</v>
      </c>
      <c r="P296" s="92" t="s">
        <v>2109</v>
      </c>
      <c r="Q296" s="92" t="s">
        <v>2110</v>
      </c>
      <c r="R296" s="92" t="s">
        <v>2111</v>
      </c>
      <c r="S296" s="92" t="s">
        <v>2112</v>
      </c>
      <c r="T296" s="92" t="s">
        <v>1650</v>
      </c>
      <c r="U296" s="92"/>
      <c r="V296" s="92"/>
      <c r="W296" s="92"/>
      <c r="X296" s="92"/>
      <c r="Y296" s="92" t="s">
        <v>606</v>
      </c>
      <c r="Z296" s="92" t="s">
        <v>770</v>
      </c>
      <c r="AA296" s="92" t="s">
        <v>1236</v>
      </c>
      <c r="AB296" s="92" t="s">
        <v>778</v>
      </c>
      <c r="AC296" s="92" t="s">
        <v>1012</v>
      </c>
      <c r="AD296" s="92" t="s">
        <v>2113</v>
      </c>
      <c r="AE296" s="92"/>
      <c r="AF296" s="92"/>
    </row>
    <row r="297" spans="1:32" ht="12.75" customHeight="1">
      <c r="A297" s="92" t="s">
        <v>846</v>
      </c>
      <c r="B297" s="92" t="s">
        <v>1154</v>
      </c>
      <c r="C297" s="92" t="s">
        <v>922</v>
      </c>
      <c r="D297" s="92"/>
      <c r="E297" s="92" t="s">
        <v>775</v>
      </c>
      <c r="F297" s="92"/>
      <c r="G297" s="263">
        <v>9919235</v>
      </c>
      <c r="H297" s="263">
        <v>3862755</v>
      </c>
      <c r="I297" s="156" t="s">
        <v>776</v>
      </c>
      <c r="J297" s="263">
        <v>8</v>
      </c>
      <c r="K297" s="263">
        <v>21</v>
      </c>
      <c r="L297" s="96">
        <v>13946.04</v>
      </c>
      <c r="M297" s="100">
        <v>44439</v>
      </c>
      <c r="N297" s="100">
        <v>44414</v>
      </c>
      <c r="O297" s="100">
        <v>44414</v>
      </c>
      <c r="P297" s="92" t="s">
        <v>777</v>
      </c>
      <c r="Q297" s="92" t="s">
        <v>2060</v>
      </c>
      <c r="R297" s="92"/>
      <c r="S297" s="92" t="s">
        <v>2062</v>
      </c>
      <c r="T297" s="92" t="s">
        <v>2114</v>
      </c>
      <c r="U297" s="92"/>
      <c r="V297" s="92"/>
      <c r="W297" s="92"/>
      <c r="X297" s="92"/>
      <c r="Y297" s="92" t="s">
        <v>606</v>
      </c>
      <c r="Z297" s="92" t="s">
        <v>770</v>
      </c>
      <c r="AA297" s="92" t="s">
        <v>778</v>
      </c>
      <c r="AB297" s="92" t="s">
        <v>778</v>
      </c>
      <c r="AC297" s="92" t="s">
        <v>1155</v>
      </c>
      <c r="AD297" s="92"/>
      <c r="AE297" s="92"/>
      <c r="AF297" s="92"/>
    </row>
    <row r="298" spans="1:32" ht="12.75" customHeight="1">
      <c r="A298" s="92" t="s">
        <v>892</v>
      </c>
      <c r="B298" s="92" t="s">
        <v>727</v>
      </c>
      <c r="C298" s="92" t="s">
        <v>922</v>
      </c>
      <c r="D298" s="92"/>
      <c r="E298" s="92" t="s">
        <v>768</v>
      </c>
      <c r="F298" s="92"/>
      <c r="G298" s="263">
        <v>9921210</v>
      </c>
      <c r="H298" s="263">
        <v>1403898</v>
      </c>
      <c r="I298" s="156" t="s">
        <v>769</v>
      </c>
      <c r="J298" s="263">
        <v>8</v>
      </c>
      <c r="K298" s="263">
        <v>21</v>
      </c>
      <c r="L298" s="96">
        <v>212040</v>
      </c>
      <c r="M298" s="100">
        <v>44400</v>
      </c>
      <c r="N298" s="100">
        <v>44419</v>
      </c>
      <c r="O298" s="100">
        <v>44419</v>
      </c>
      <c r="P298" s="92" t="s">
        <v>2115</v>
      </c>
      <c r="Q298" s="92" t="s">
        <v>1157</v>
      </c>
      <c r="R298" s="92" t="s">
        <v>2116</v>
      </c>
      <c r="S298" s="92" t="s">
        <v>1501</v>
      </c>
      <c r="T298" s="92" t="s">
        <v>1851</v>
      </c>
      <c r="U298" s="92"/>
      <c r="V298" s="92"/>
      <c r="W298" s="92"/>
      <c r="X298" s="92"/>
      <c r="Y298" s="92" t="s">
        <v>606</v>
      </c>
      <c r="Z298" s="92" t="s">
        <v>770</v>
      </c>
      <c r="AA298" s="92" t="s">
        <v>1236</v>
      </c>
      <c r="AB298" s="92" t="s">
        <v>778</v>
      </c>
      <c r="AC298" s="92" t="s">
        <v>928</v>
      </c>
      <c r="AD298" s="92" t="s">
        <v>1852</v>
      </c>
      <c r="AE298" s="92"/>
      <c r="AF298" s="92"/>
    </row>
    <row r="299" spans="1:32" ht="12.75" customHeight="1">
      <c r="A299" s="92" t="s">
        <v>703</v>
      </c>
      <c r="B299" s="92" t="s">
        <v>64</v>
      </c>
      <c r="C299" s="92" t="s">
        <v>922</v>
      </c>
      <c r="D299" s="92"/>
      <c r="E299" s="92" t="s">
        <v>49</v>
      </c>
      <c r="F299" s="92"/>
      <c r="G299" s="263">
        <v>9922397</v>
      </c>
      <c r="H299" s="263">
        <v>18344101</v>
      </c>
      <c r="I299" s="156" t="s">
        <v>772</v>
      </c>
      <c r="J299" s="263">
        <v>8</v>
      </c>
      <c r="K299" s="263">
        <v>21</v>
      </c>
      <c r="L299" s="96">
        <v>4170</v>
      </c>
      <c r="M299" s="100">
        <v>44439</v>
      </c>
      <c r="N299" s="100">
        <v>44439</v>
      </c>
      <c r="O299" s="100">
        <v>44420</v>
      </c>
      <c r="P299" s="92" t="s">
        <v>1213</v>
      </c>
      <c r="Q299" s="92" t="s">
        <v>2117</v>
      </c>
      <c r="R299" s="92"/>
      <c r="S299" s="92">
        <v>0</v>
      </c>
      <c r="T299" s="92" t="s">
        <v>2118</v>
      </c>
      <c r="U299" s="92"/>
      <c r="V299" s="92"/>
      <c r="W299" s="92" t="s">
        <v>773</v>
      </c>
      <c r="X299" s="92"/>
      <c r="Y299" s="92" t="s">
        <v>606</v>
      </c>
      <c r="Z299" s="92" t="s">
        <v>770</v>
      </c>
      <c r="AA299" s="92" t="s">
        <v>1299</v>
      </c>
      <c r="AB299" s="92" t="s">
        <v>778</v>
      </c>
      <c r="AC299" s="92" t="s">
        <v>785</v>
      </c>
      <c r="AD299" s="92" t="s">
        <v>1212</v>
      </c>
      <c r="AE299" s="92"/>
      <c r="AF299" s="92"/>
    </row>
    <row r="300" spans="1:32" ht="12.75" customHeight="1">
      <c r="A300" s="92" t="s">
        <v>703</v>
      </c>
      <c r="B300" s="92" t="s">
        <v>64</v>
      </c>
      <c r="C300" s="92" t="s">
        <v>922</v>
      </c>
      <c r="D300" s="92"/>
      <c r="E300" s="92" t="s">
        <v>49</v>
      </c>
      <c r="F300" s="92"/>
      <c r="G300" s="263">
        <v>9923249</v>
      </c>
      <c r="H300" s="263">
        <v>18345113</v>
      </c>
      <c r="I300" s="156" t="s">
        <v>772</v>
      </c>
      <c r="J300" s="263">
        <v>8</v>
      </c>
      <c r="K300" s="263">
        <v>21</v>
      </c>
      <c r="L300" s="96">
        <v>-150000</v>
      </c>
      <c r="M300" s="100">
        <v>44439</v>
      </c>
      <c r="N300" s="100">
        <v>44439</v>
      </c>
      <c r="O300" s="100">
        <v>44421</v>
      </c>
      <c r="P300" s="92" t="s">
        <v>2119</v>
      </c>
      <c r="Q300" s="92" t="s">
        <v>2120</v>
      </c>
      <c r="R300" s="92"/>
      <c r="S300" s="92">
        <v>0</v>
      </c>
      <c r="T300" s="92" t="s">
        <v>2121</v>
      </c>
      <c r="U300" s="92"/>
      <c r="V300" s="92"/>
      <c r="W300" s="92" t="s">
        <v>773</v>
      </c>
      <c r="X300" s="92"/>
      <c r="Y300" s="92" t="s">
        <v>606</v>
      </c>
      <c r="Z300" s="92" t="s">
        <v>770</v>
      </c>
      <c r="AA300" s="92" t="s">
        <v>1299</v>
      </c>
      <c r="AB300" s="92" t="s">
        <v>778</v>
      </c>
      <c r="AC300" s="92" t="s">
        <v>785</v>
      </c>
      <c r="AD300" s="92" t="s">
        <v>2122</v>
      </c>
      <c r="AE300" s="92"/>
      <c r="AF300" s="92"/>
    </row>
    <row r="301" spans="1:32" ht="12.75" customHeight="1">
      <c r="A301" s="92" t="s">
        <v>703</v>
      </c>
      <c r="B301" s="92" t="s">
        <v>64</v>
      </c>
      <c r="C301" s="92" t="s">
        <v>922</v>
      </c>
      <c r="D301" s="92"/>
      <c r="E301" s="92" t="s">
        <v>49</v>
      </c>
      <c r="F301" s="92"/>
      <c r="G301" s="263">
        <v>9923249</v>
      </c>
      <c r="H301" s="263">
        <v>18345113</v>
      </c>
      <c r="I301" s="156" t="s">
        <v>772</v>
      </c>
      <c r="J301" s="263">
        <v>8</v>
      </c>
      <c r="K301" s="263">
        <v>21</v>
      </c>
      <c r="L301" s="96">
        <v>-288830</v>
      </c>
      <c r="M301" s="100">
        <v>44439</v>
      </c>
      <c r="N301" s="100">
        <v>44439</v>
      </c>
      <c r="O301" s="100">
        <v>44421</v>
      </c>
      <c r="P301" s="92" t="s">
        <v>2123</v>
      </c>
      <c r="Q301" s="92" t="s">
        <v>2120</v>
      </c>
      <c r="R301" s="92"/>
      <c r="S301" s="92">
        <v>0</v>
      </c>
      <c r="T301" s="92" t="s">
        <v>2124</v>
      </c>
      <c r="U301" s="92"/>
      <c r="V301" s="92"/>
      <c r="W301" s="92" t="s">
        <v>773</v>
      </c>
      <c r="X301" s="92"/>
      <c r="Y301" s="92" t="s">
        <v>606</v>
      </c>
      <c r="Z301" s="92" t="s">
        <v>770</v>
      </c>
      <c r="AA301" s="92" t="s">
        <v>1299</v>
      </c>
      <c r="AB301" s="92" t="s">
        <v>778</v>
      </c>
      <c r="AC301" s="92" t="s">
        <v>785</v>
      </c>
      <c r="AD301" s="92" t="s">
        <v>2125</v>
      </c>
      <c r="AE301" s="92"/>
      <c r="AF301" s="92"/>
    </row>
    <row r="302" spans="1:32" ht="12.75" customHeight="1">
      <c r="A302" s="92" t="s">
        <v>703</v>
      </c>
      <c r="B302" s="92" t="s">
        <v>64</v>
      </c>
      <c r="C302" s="92" t="s">
        <v>922</v>
      </c>
      <c r="D302" s="92"/>
      <c r="E302" s="92" t="s">
        <v>49</v>
      </c>
      <c r="F302" s="92"/>
      <c r="G302" s="263">
        <v>9923249</v>
      </c>
      <c r="H302" s="263">
        <v>18345113</v>
      </c>
      <c r="I302" s="156" t="s">
        <v>772</v>
      </c>
      <c r="J302" s="263">
        <v>8</v>
      </c>
      <c r="K302" s="263">
        <v>21</v>
      </c>
      <c r="L302" s="96">
        <v>-216155</v>
      </c>
      <c r="M302" s="100">
        <v>44439</v>
      </c>
      <c r="N302" s="100">
        <v>44439</v>
      </c>
      <c r="O302" s="100">
        <v>44421</v>
      </c>
      <c r="P302" s="92" t="s">
        <v>2126</v>
      </c>
      <c r="Q302" s="92" t="s">
        <v>2120</v>
      </c>
      <c r="R302" s="92"/>
      <c r="S302" s="92">
        <v>0</v>
      </c>
      <c r="T302" s="92" t="s">
        <v>2127</v>
      </c>
      <c r="U302" s="92"/>
      <c r="V302" s="92"/>
      <c r="W302" s="92" t="s">
        <v>773</v>
      </c>
      <c r="X302" s="92"/>
      <c r="Y302" s="92" t="s">
        <v>606</v>
      </c>
      <c r="Z302" s="92" t="s">
        <v>770</v>
      </c>
      <c r="AA302" s="92" t="s">
        <v>1299</v>
      </c>
      <c r="AB302" s="92" t="s">
        <v>778</v>
      </c>
      <c r="AC302" s="92" t="s">
        <v>785</v>
      </c>
      <c r="AD302" s="92" t="s">
        <v>2128</v>
      </c>
      <c r="AE302" s="92"/>
      <c r="AF302" s="92"/>
    </row>
    <row r="303" spans="1:32" ht="12.75" customHeight="1">
      <c r="A303" s="92" t="s">
        <v>703</v>
      </c>
      <c r="B303" s="92" t="s">
        <v>64</v>
      </c>
      <c r="C303" s="92" t="s">
        <v>922</v>
      </c>
      <c r="D303" s="92"/>
      <c r="E303" s="92" t="s">
        <v>49</v>
      </c>
      <c r="F303" s="92"/>
      <c r="G303" s="263">
        <v>9923249</v>
      </c>
      <c r="H303" s="263">
        <v>18345113</v>
      </c>
      <c r="I303" s="156" t="s">
        <v>772</v>
      </c>
      <c r="J303" s="263">
        <v>8</v>
      </c>
      <c r="K303" s="263">
        <v>21</v>
      </c>
      <c r="L303" s="96">
        <v>-75000</v>
      </c>
      <c r="M303" s="100">
        <v>44439</v>
      </c>
      <c r="N303" s="100">
        <v>44439</v>
      </c>
      <c r="O303" s="100">
        <v>44421</v>
      </c>
      <c r="P303" s="92" t="s">
        <v>2129</v>
      </c>
      <c r="Q303" s="92" t="s">
        <v>2120</v>
      </c>
      <c r="R303" s="92"/>
      <c r="S303" s="92">
        <v>0</v>
      </c>
      <c r="T303" s="92" t="s">
        <v>2130</v>
      </c>
      <c r="U303" s="92"/>
      <c r="V303" s="92"/>
      <c r="W303" s="92" t="s">
        <v>773</v>
      </c>
      <c r="X303" s="92"/>
      <c r="Y303" s="92" t="s">
        <v>606</v>
      </c>
      <c r="Z303" s="92" t="s">
        <v>770</v>
      </c>
      <c r="AA303" s="92" t="s">
        <v>1299</v>
      </c>
      <c r="AB303" s="92" t="s">
        <v>778</v>
      </c>
      <c r="AC303" s="92" t="s">
        <v>785</v>
      </c>
      <c r="AD303" s="92" t="s">
        <v>2131</v>
      </c>
      <c r="AE303" s="92"/>
      <c r="AF303" s="92"/>
    </row>
    <row r="304" spans="1:32" ht="12.75" customHeight="1">
      <c r="A304" s="92" t="s">
        <v>703</v>
      </c>
      <c r="B304" s="92" t="s">
        <v>64</v>
      </c>
      <c r="C304" s="92" t="s">
        <v>922</v>
      </c>
      <c r="D304" s="92"/>
      <c r="E304" s="92" t="s">
        <v>49</v>
      </c>
      <c r="F304" s="92"/>
      <c r="G304" s="263">
        <v>9923249</v>
      </c>
      <c r="H304" s="263">
        <v>18345113</v>
      </c>
      <c r="I304" s="156" t="s">
        <v>772</v>
      </c>
      <c r="J304" s="263">
        <v>8</v>
      </c>
      <c r="K304" s="263">
        <v>21</v>
      </c>
      <c r="L304" s="96">
        <v>-1011021.5</v>
      </c>
      <c r="M304" s="100">
        <v>44439</v>
      </c>
      <c r="N304" s="100">
        <v>44439</v>
      </c>
      <c r="O304" s="100">
        <v>44421</v>
      </c>
      <c r="P304" s="92" t="s">
        <v>2132</v>
      </c>
      <c r="Q304" s="92" t="s">
        <v>2120</v>
      </c>
      <c r="R304" s="92"/>
      <c r="S304" s="92">
        <v>0</v>
      </c>
      <c r="T304" s="92" t="s">
        <v>2133</v>
      </c>
      <c r="U304" s="92"/>
      <c r="V304" s="92"/>
      <c r="W304" s="92" t="s">
        <v>773</v>
      </c>
      <c r="X304" s="92"/>
      <c r="Y304" s="92" t="s">
        <v>606</v>
      </c>
      <c r="Z304" s="92" t="s">
        <v>770</v>
      </c>
      <c r="AA304" s="92" t="s">
        <v>1299</v>
      </c>
      <c r="AB304" s="92" t="s">
        <v>778</v>
      </c>
      <c r="AC304" s="92" t="s">
        <v>785</v>
      </c>
      <c r="AD304" s="92" t="s">
        <v>2134</v>
      </c>
      <c r="AE304" s="92"/>
      <c r="AF304" s="92"/>
    </row>
    <row r="305" spans="1:32" ht="12.75" customHeight="1">
      <c r="A305" s="92" t="s">
        <v>703</v>
      </c>
      <c r="B305" s="92" t="s">
        <v>64</v>
      </c>
      <c r="C305" s="92" t="s">
        <v>922</v>
      </c>
      <c r="D305" s="92"/>
      <c r="E305" s="92" t="s">
        <v>49</v>
      </c>
      <c r="F305" s="92"/>
      <c r="G305" s="263">
        <v>9923249</v>
      </c>
      <c r="H305" s="263">
        <v>18345113</v>
      </c>
      <c r="I305" s="156" t="s">
        <v>772</v>
      </c>
      <c r="J305" s="263">
        <v>8</v>
      </c>
      <c r="K305" s="263">
        <v>21</v>
      </c>
      <c r="L305" s="96">
        <v>-175000</v>
      </c>
      <c r="M305" s="100">
        <v>44439</v>
      </c>
      <c r="N305" s="100">
        <v>44439</v>
      </c>
      <c r="O305" s="100">
        <v>44421</v>
      </c>
      <c r="P305" s="92" t="s">
        <v>2135</v>
      </c>
      <c r="Q305" s="92" t="s">
        <v>2120</v>
      </c>
      <c r="R305" s="92"/>
      <c r="S305" s="92">
        <v>0</v>
      </c>
      <c r="T305" s="92" t="s">
        <v>2136</v>
      </c>
      <c r="U305" s="92"/>
      <c r="V305" s="92"/>
      <c r="W305" s="92" t="s">
        <v>773</v>
      </c>
      <c r="X305" s="92"/>
      <c r="Y305" s="92" t="s">
        <v>606</v>
      </c>
      <c r="Z305" s="92" t="s">
        <v>770</v>
      </c>
      <c r="AA305" s="92" t="s">
        <v>1299</v>
      </c>
      <c r="AB305" s="92" t="s">
        <v>778</v>
      </c>
      <c r="AC305" s="92" t="s">
        <v>785</v>
      </c>
      <c r="AD305" s="92" t="s">
        <v>2137</v>
      </c>
      <c r="AE305" s="92"/>
      <c r="AF305" s="92"/>
    </row>
    <row r="306" spans="1:32" ht="12.75" customHeight="1">
      <c r="A306" s="92" t="s">
        <v>892</v>
      </c>
      <c r="B306" s="92" t="s">
        <v>62</v>
      </c>
      <c r="C306" s="92" t="s">
        <v>922</v>
      </c>
      <c r="D306" s="92"/>
      <c r="E306" s="92" t="s">
        <v>768</v>
      </c>
      <c r="F306" s="92"/>
      <c r="G306" s="263">
        <v>9923911</v>
      </c>
      <c r="H306" s="263">
        <v>1404643</v>
      </c>
      <c r="I306" s="156" t="s">
        <v>769</v>
      </c>
      <c r="J306" s="263">
        <v>8</v>
      </c>
      <c r="K306" s="263">
        <v>21</v>
      </c>
      <c r="L306" s="96">
        <v>191220</v>
      </c>
      <c r="M306" s="100">
        <v>44398</v>
      </c>
      <c r="N306" s="100">
        <v>44424</v>
      </c>
      <c r="O306" s="100">
        <v>44424</v>
      </c>
      <c r="P306" s="92" t="s">
        <v>2138</v>
      </c>
      <c r="Q306" s="92" t="s">
        <v>647</v>
      </c>
      <c r="R306" s="92" t="s">
        <v>2139</v>
      </c>
      <c r="S306" s="92" t="s">
        <v>2140</v>
      </c>
      <c r="T306" s="92" t="s">
        <v>2141</v>
      </c>
      <c r="U306" s="92"/>
      <c r="V306" s="92"/>
      <c r="W306" s="92"/>
      <c r="X306" s="92"/>
      <c r="Y306" s="92" t="s">
        <v>606</v>
      </c>
      <c r="Z306" s="92" t="s">
        <v>770</v>
      </c>
      <c r="AA306" s="92" t="s">
        <v>1236</v>
      </c>
      <c r="AB306" s="92" t="s">
        <v>778</v>
      </c>
      <c r="AC306" s="92" t="s">
        <v>914</v>
      </c>
      <c r="AD306" s="92" t="s">
        <v>2142</v>
      </c>
      <c r="AE306" s="92"/>
      <c r="AF306" s="92"/>
    </row>
    <row r="307" spans="1:32" ht="12.75" customHeight="1">
      <c r="A307" s="92" t="s">
        <v>892</v>
      </c>
      <c r="B307" s="92" t="s">
        <v>62</v>
      </c>
      <c r="C307" s="92" t="s">
        <v>922</v>
      </c>
      <c r="D307" s="92"/>
      <c r="E307" s="92" t="s">
        <v>768</v>
      </c>
      <c r="F307" s="92"/>
      <c r="G307" s="263">
        <v>9925240</v>
      </c>
      <c r="H307" s="263">
        <v>1404992</v>
      </c>
      <c r="I307" s="156" t="s">
        <v>769</v>
      </c>
      <c r="J307" s="263">
        <v>8</v>
      </c>
      <c r="K307" s="263">
        <v>21</v>
      </c>
      <c r="L307" s="96">
        <v>436590</v>
      </c>
      <c r="M307" s="100">
        <v>43900</v>
      </c>
      <c r="N307" s="100">
        <v>44426</v>
      </c>
      <c r="O307" s="100">
        <v>44426</v>
      </c>
      <c r="P307" s="92" t="s">
        <v>2143</v>
      </c>
      <c r="Q307" s="92" t="s">
        <v>1149</v>
      </c>
      <c r="R307" s="92" t="s">
        <v>2144</v>
      </c>
      <c r="S307" s="92" t="s">
        <v>2145</v>
      </c>
      <c r="T307" s="92" t="s">
        <v>1826</v>
      </c>
      <c r="U307" s="92"/>
      <c r="V307" s="92"/>
      <c r="W307" s="92"/>
      <c r="X307" s="92"/>
      <c r="Y307" s="92" t="s">
        <v>606</v>
      </c>
      <c r="Z307" s="92" t="s">
        <v>770</v>
      </c>
      <c r="AA307" s="92" t="s">
        <v>1236</v>
      </c>
      <c r="AB307" s="92" t="s">
        <v>778</v>
      </c>
      <c r="AC307" s="92" t="s">
        <v>914</v>
      </c>
      <c r="AD307" s="92" t="s">
        <v>1115</v>
      </c>
      <c r="AE307" s="92"/>
      <c r="AF307" s="92"/>
    </row>
    <row r="308" spans="1:32" ht="12.75" customHeight="1">
      <c r="A308" s="92" t="s">
        <v>892</v>
      </c>
      <c r="B308" s="92" t="s">
        <v>62</v>
      </c>
      <c r="C308" s="92" t="s">
        <v>922</v>
      </c>
      <c r="D308" s="92"/>
      <c r="E308" s="92" t="s">
        <v>768</v>
      </c>
      <c r="F308" s="92"/>
      <c r="G308" s="263">
        <v>9925465</v>
      </c>
      <c r="H308" s="263">
        <v>1405145</v>
      </c>
      <c r="I308" s="156" t="s">
        <v>769</v>
      </c>
      <c r="J308" s="263">
        <v>8</v>
      </c>
      <c r="K308" s="263">
        <v>21</v>
      </c>
      <c r="L308" s="96">
        <v>442500</v>
      </c>
      <c r="M308" s="100">
        <v>44421</v>
      </c>
      <c r="N308" s="100">
        <v>44426</v>
      </c>
      <c r="O308" s="100">
        <v>44426</v>
      </c>
      <c r="P308" s="92" t="s">
        <v>2146</v>
      </c>
      <c r="Q308" s="92" t="s">
        <v>736</v>
      </c>
      <c r="R308" s="92" t="s">
        <v>2147</v>
      </c>
      <c r="S308" s="92" t="s">
        <v>2148</v>
      </c>
      <c r="T308" s="92" t="s">
        <v>2149</v>
      </c>
      <c r="U308" s="92"/>
      <c r="V308" s="92"/>
      <c r="W308" s="92"/>
      <c r="X308" s="92"/>
      <c r="Y308" s="92" t="s">
        <v>606</v>
      </c>
      <c r="Z308" s="92" t="s">
        <v>770</v>
      </c>
      <c r="AA308" s="92" t="s">
        <v>1236</v>
      </c>
      <c r="AB308" s="92" t="s">
        <v>778</v>
      </c>
      <c r="AC308" s="92" t="s">
        <v>914</v>
      </c>
      <c r="AD308" s="92"/>
      <c r="AE308" s="92"/>
      <c r="AF308" s="92"/>
    </row>
    <row r="309" spans="1:32" ht="12.75" customHeight="1">
      <c r="A309" s="92" t="s">
        <v>703</v>
      </c>
      <c r="B309" s="92" t="s">
        <v>56</v>
      </c>
      <c r="C309" s="92" t="s">
        <v>922</v>
      </c>
      <c r="D309" s="92"/>
      <c r="E309" s="92" t="s">
        <v>768</v>
      </c>
      <c r="F309" s="92"/>
      <c r="G309" s="263">
        <v>9921402</v>
      </c>
      <c r="H309" s="263">
        <v>1404087</v>
      </c>
      <c r="I309" s="156" t="s">
        <v>769</v>
      </c>
      <c r="J309" s="263">
        <v>8</v>
      </c>
      <c r="K309" s="263">
        <v>21</v>
      </c>
      <c r="L309" s="96">
        <v>65875</v>
      </c>
      <c r="M309" s="100">
        <v>44369</v>
      </c>
      <c r="N309" s="100">
        <v>44419</v>
      </c>
      <c r="O309" s="100">
        <v>44419</v>
      </c>
      <c r="P309" s="92" t="s">
        <v>1736</v>
      </c>
      <c r="Q309" s="92" t="s">
        <v>839</v>
      </c>
      <c r="R309" s="92" t="s">
        <v>2150</v>
      </c>
      <c r="S309" s="92" t="s">
        <v>1738</v>
      </c>
      <c r="T309" s="92" t="s">
        <v>1739</v>
      </c>
      <c r="U309" s="92"/>
      <c r="V309" s="92"/>
      <c r="W309" s="92"/>
      <c r="X309" s="92"/>
      <c r="Y309" s="92" t="s">
        <v>606</v>
      </c>
      <c r="Z309" s="92" t="s">
        <v>770</v>
      </c>
      <c r="AA309" s="92" t="s">
        <v>1236</v>
      </c>
      <c r="AB309" s="92" t="s">
        <v>778</v>
      </c>
      <c r="AC309" s="92" t="s">
        <v>787</v>
      </c>
      <c r="AD309" s="92"/>
      <c r="AE309" s="92"/>
      <c r="AF309" s="92"/>
    </row>
    <row r="310" spans="1:32" ht="12.75" customHeight="1">
      <c r="A310" s="92" t="s">
        <v>703</v>
      </c>
      <c r="B310" s="92" t="s">
        <v>53</v>
      </c>
      <c r="C310" s="92" t="s">
        <v>922</v>
      </c>
      <c r="D310" s="92"/>
      <c r="E310" s="92" t="s">
        <v>49</v>
      </c>
      <c r="F310" s="92"/>
      <c r="G310" s="263">
        <v>9914913</v>
      </c>
      <c r="H310" s="263">
        <v>18273461</v>
      </c>
      <c r="I310" s="156" t="s">
        <v>772</v>
      </c>
      <c r="J310" s="263">
        <v>8</v>
      </c>
      <c r="K310" s="263">
        <v>21</v>
      </c>
      <c r="L310" s="96">
        <v>-54800</v>
      </c>
      <c r="M310" s="100">
        <v>44409</v>
      </c>
      <c r="N310" s="100">
        <v>44409</v>
      </c>
      <c r="O310" s="100">
        <v>44405</v>
      </c>
      <c r="P310" s="92" t="s">
        <v>1221</v>
      </c>
      <c r="Q310" s="92" t="s">
        <v>2107</v>
      </c>
      <c r="R310" s="92"/>
      <c r="S310" s="92">
        <v>0</v>
      </c>
      <c r="T310" s="92" t="s">
        <v>1890</v>
      </c>
      <c r="U310" s="92"/>
      <c r="V310" s="92"/>
      <c r="W310" s="92" t="s">
        <v>1293</v>
      </c>
      <c r="X310" s="92"/>
      <c r="Y310" s="92" t="s">
        <v>606</v>
      </c>
      <c r="Z310" s="92" t="s">
        <v>770</v>
      </c>
      <c r="AA310" s="92" t="s">
        <v>1041</v>
      </c>
      <c r="AB310" s="92" t="s">
        <v>1891</v>
      </c>
      <c r="AC310" s="92" t="s">
        <v>912</v>
      </c>
      <c r="AD310" s="92" t="s">
        <v>1892</v>
      </c>
      <c r="AE310" s="92"/>
      <c r="AF310" s="92"/>
    </row>
    <row r="311" spans="1:32" ht="12.75" customHeight="1">
      <c r="A311" s="92" t="s">
        <v>703</v>
      </c>
      <c r="B311" s="92" t="s">
        <v>53</v>
      </c>
      <c r="C311" s="92" t="s">
        <v>922</v>
      </c>
      <c r="D311" s="92"/>
      <c r="E311" s="92" t="s">
        <v>49</v>
      </c>
      <c r="F311" s="92"/>
      <c r="G311" s="263">
        <v>9914913</v>
      </c>
      <c r="H311" s="263">
        <v>18273461</v>
      </c>
      <c r="I311" s="156" t="s">
        <v>772</v>
      </c>
      <c r="J311" s="263">
        <v>8</v>
      </c>
      <c r="K311" s="263">
        <v>21</v>
      </c>
      <c r="L311" s="96">
        <v>-70780</v>
      </c>
      <c r="M311" s="100">
        <v>44409</v>
      </c>
      <c r="N311" s="100">
        <v>44409</v>
      </c>
      <c r="O311" s="100">
        <v>44405</v>
      </c>
      <c r="P311" s="92" t="s">
        <v>1225</v>
      </c>
      <c r="Q311" s="92" t="s">
        <v>2107</v>
      </c>
      <c r="R311" s="92"/>
      <c r="S311" s="92">
        <v>0</v>
      </c>
      <c r="T311" s="92" t="s">
        <v>1894</v>
      </c>
      <c r="U311" s="92"/>
      <c r="V311" s="92"/>
      <c r="W311" s="92" t="s">
        <v>1293</v>
      </c>
      <c r="X311" s="92"/>
      <c r="Y311" s="92" t="s">
        <v>606</v>
      </c>
      <c r="Z311" s="92" t="s">
        <v>770</v>
      </c>
      <c r="AA311" s="92" t="s">
        <v>1041</v>
      </c>
      <c r="AB311" s="92" t="s">
        <v>1891</v>
      </c>
      <c r="AC311" s="92" t="s">
        <v>912</v>
      </c>
      <c r="AD311" s="92" t="s">
        <v>1895</v>
      </c>
      <c r="AE311" s="92"/>
      <c r="AF311" s="92"/>
    </row>
    <row r="312" spans="1:32" ht="12.75" customHeight="1">
      <c r="A312" s="92" t="s">
        <v>703</v>
      </c>
      <c r="B312" s="92" t="s">
        <v>53</v>
      </c>
      <c r="C312" s="92" t="s">
        <v>922</v>
      </c>
      <c r="D312" s="92"/>
      <c r="E312" s="92" t="s">
        <v>49</v>
      </c>
      <c r="F312" s="92"/>
      <c r="G312" s="263">
        <v>9915029</v>
      </c>
      <c r="H312" s="263">
        <v>18273498</v>
      </c>
      <c r="I312" s="156" t="s">
        <v>772</v>
      </c>
      <c r="J312" s="263">
        <v>8</v>
      </c>
      <c r="K312" s="263">
        <v>21</v>
      </c>
      <c r="L312" s="96">
        <v>54800</v>
      </c>
      <c r="M312" s="100">
        <v>44409</v>
      </c>
      <c r="N312" s="100">
        <v>44409</v>
      </c>
      <c r="O312" s="100">
        <v>44405</v>
      </c>
      <c r="P312" s="92" t="s">
        <v>1221</v>
      </c>
      <c r="Q312" s="92" t="s">
        <v>2108</v>
      </c>
      <c r="R312" s="92"/>
      <c r="S312" s="92">
        <v>0</v>
      </c>
      <c r="T312" s="92" t="s">
        <v>1890</v>
      </c>
      <c r="U312" s="92"/>
      <c r="V312" s="92"/>
      <c r="W312" s="92" t="s">
        <v>957</v>
      </c>
      <c r="X312" s="92"/>
      <c r="Y312" s="92" t="s">
        <v>606</v>
      </c>
      <c r="Z312" s="92" t="s">
        <v>770</v>
      </c>
      <c r="AA312" s="92" t="s">
        <v>1041</v>
      </c>
      <c r="AB312" s="92" t="s">
        <v>778</v>
      </c>
      <c r="AC312" s="92" t="s">
        <v>912</v>
      </c>
      <c r="AD312" s="92" t="s">
        <v>1892</v>
      </c>
      <c r="AE312" s="92"/>
      <c r="AF312" s="92"/>
    </row>
    <row r="313" spans="1:32" ht="12.75" customHeight="1">
      <c r="A313" s="92" t="s">
        <v>703</v>
      </c>
      <c r="B313" s="92" t="s">
        <v>53</v>
      </c>
      <c r="C313" s="92" t="s">
        <v>922</v>
      </c>
      <c r="D313" s="92"/>
      <c r="E313" s="92" t="s">
        <v>49</v>
      </c>
      <c r="F313" s="92"/>
      <c r="G313" s="263">
        <v>9915029</v>
      </c>
      <c r="H313" s="263">
        <v>18273498</v>
      </c>
      <c r="I313" s="156" t="s">
        <v>772</v>
      </c>
      <c r="J313" s="263">
        <v>8</v>
      </c>
      <c r="K313" s="263">
        <v>21</v>
      </c>
      <c r="L313" s="96">
        <v>70780</v>
      </c>
      <c r="M313" s="100">
        <v>44409</v>
      </c>
      <c r="N313" s="100">
        <v>44409</v>
      </c>
      <c r="O313" s="100">
        <v>44405</v>
      </c>
      <c r="P313" s="92" t="s">
        <v>1225</v>
      </c>
      <c r="Q313" s="92" t="s">
        <v>2108</v>
      </c>
      <c r="R313" s="92"/>
      <c r="S313" s="92">
        <v>0</v>
      </c>
      <c r="T313" s="92" t="s">
        <v>1894</v>
      </c>
      <c r="U313" s="92"/>
      <c r="V313" s="92"/>
      <c r="W313" s="92" t="s">
        <v>957</v>
      </c>
      <c r="X313" s="92"/>
      <c r="Y313" s="92" t="s">
        <v>606</v>
      </c>
      <c r="Z313" s="92" t="s">
        <v>770</v>
      </c>
      <c r="AA313" s="92" t="s">
        <v>1041</v>
      </c>
      <c r="AB313" s="92" t="s">
        <v>778</v>
      </c>
      <c r="AC313" s="92" t="s">
        <v>912</v>
      </c>
      <c r="AD313" s="92" t="s">
        <v>1895</v>
      </c>
      <c r="AE313" s="92"/>
      <c r="AF313" s="92"/>
    </row>
    <row r="314" spans="1:32" ht="12.75" customHeight="1">
      <c r="A314" s="92" t="s">
        <v>703</v>
      </c>
      <c r="B314" s="92" t="s">
        <v>53</v>
      </c>
      <c r="C314" s="92" t="s">
        <v>922</v>
      </c>
      <c r="D314" s="92"/>
      <c r="E314" s="92" t="s">
        <v>768</v>
      </c>
      <c r="F314" s="92"/>
      <c r="G314" s="263">
        <v>9918982</v>
      </c>
      <c r="H314" s="263">
        <v>1403284</v>
      </c>
      <c r="I314" s="156" t="s">
        <v>769</v>
      </c>
      <c r="J314" s="263">
        <v>8</v>
      </c>
      <c r="K314" s="263">
        <v>21</v>
      </c>
      <c r="L314" s="96">
        <v>32106</v>
      </c>
      <c r="M314" s="100">
        <v>44407</v>
      </c>
      <c r="N314" s="100">
        <v>44413</v>
      </c>
      <c r="O314" s="100">
        <v>44413</v>
      </c>
      <c r="P314" s="92" t="s">
        <v>2151</v>
      </c>
      <c r="Q314" s="92" t="s">
        <v>80</v>
      </c>
      <c r="R314" s="92" t="s">
        <v>2152</v>
      </c>
      <c r="S314" s="92" t="s">
        <v>1103</v>
      </c>
      <c r="T314" s="92" t="s">
        <v>2153</v>
      </c>
      <c r="U314" s="92"/>
      <c r="V314" s="92"/>
      <c r="W314" s="92"/>
      <c r="X314" s="92"/>
      <c r="Y314" s="92" t="s">
        <v>606</v>
      </c>
      <c r="Z314" s="92" t="s">
        <v>770</v>
      </c>
      <c r="AA314" s="92" t="s">
        <v>1236</v>
      </c>
      <c r="AB314" s="92" t="s">
        <v>778</v>
      </c>
      <c r="AC314" s="92" t="s">
        <v>912</v>
      </c>
      <c r="AD314" s="92" t="s">
        <v>1102</v>
      </c>
      <c r="AE314" s="92"/>
      <c r="AF314" s="92"/>
    </row>
    <row r="315" spans="1:32" ht="12.75" customHeight="1">
      <c r="A315" s="92" t="s">
        <v>703</v>
      </c>
      <c r="B315" s="92" t="s">
        <v>53</v>
      </c>
      <c r="C315" s="92" t="s">
        <v>922</v>
      </c>
      <c r="D315" s="92"/>
      <c r="E315" s="92" t="s">
        <v>768</v>
      </c>
      <c r="F315" s="92"/>
      <c r="G315" s="263">
        <v>9921260</v>
      </c>
      <c r="H315" s="263">
        <v>1403947</v>
      </c>
      <c r="I315" s="156" t="s">
        <v>769</v>
      </c>
      <c r="J315" s="263">
        <v>8</v>
      </c>
      <c r="K315" s="263">
        <v>21</v>
      </c>
      <c r="L315" s="96">
        <v>90000</v>
      </c>
      <c r="M315" s="100">
        <v>44358</v>
      </c>
      <c r="N315" s="100">
        <v>44419</v>
      </c>
      <c r="O315" s="100">
        <v>44419</v>
      </c>
      <c r="P315" s="92" t="s">
        <v>2154</v>
      </c>
      <c r="Q315" s="92" t="s">
        <v>2155</v>
      </c>
      <c r="R315" s="92" t="s">
        <v>2156</v>
      </c>
      <c r="S315" s="92" t="s">
        <v>2157</v>
      </c>
      <c r="T315" s="92" t="s">
        <v>1734</v>
      </c>
      <c r="U315" s="92"/>
      <c r="V315" s="92"/>
      <c r="W315" s="92"/>
      <c r="X315" s="92"/>
      <c r="Y315" s="92" t="s">
        <v>606</v>
      </c>
      <c r="Z315" s="92" t="s">
        <v>770</v>
      </c>
      <c r="AA315" s="92" t="s">
        <v>1236</v>
      </c>
      <c r="AB315" s="92" t="s">
        <v>778</v>
      </c>
      <c r="AC315" s="92" t="s">
        <v>912</v>
      </c>
      <c r="AD315" s="92" t="s">
        <v>1735</v>
      </c>
      <c r="AE315" s="92"/>
      <c r="AF315" s="92"/>
    </row>
    <row r="316" spans="1:32" ht="12.75" customHeight="1">
      <c r="A316" s="92" t="s">
        <v>703</v>
      </c>
      <c r="B316" s="92" t="s">
        <v>53</v>
      </c>
      <c r="C316" s="92" t="s">
        <v>922</v>
      </c>
      <c r="D316" s="92"/>
      <c r="E316" s="92" t="s">
        <v>768</v>
      </c>
      <c r="F316" s="92"/>
      <c r="G316" s="263">
        <v>9921380</v>
      </c>
      <c r="H316" s="263">
        <v>1404065</v>
      </c>
      <c r="I316" s="156" t="s">
        <v>769</v>
      </c>
      <c r="J316" s="263">
        <v>8</v>
      </c>
      <c r="K316" s="263">
        <v>21</v>
      </c>
      <c r="L316" s="96">
        <v>62500</v>
      </c>
      <c r="M316" s="100">
        <v>43899</v>
      </c>
      <c r="N316" s="100">
        <v>44419</v>
      </c>
      <c r="O316" s="100">
        <v>44419</v>
      </c>
      <c r="P316" s="92" t="s">
        <v>2158</v>
      </c>
      <c r="Q316" s="92" t="s">
        <v>625</v>
      </c>
      <c r="R316" s="92" t="s">
        <v>2159</v>
      </c>
      <c r="S316" s="92" t="s">
        <v>1198</v>
      </c>
      <c r="T316" s="92" t="s">
        <v>2160</v>
      </c>
      <c r="U316" s="92"/>
      <c r="V316" s="92"/>
      <c r="W316" s="92"/>
      <c r="X316" s="92"/>
      <c r="Y316" s="92" t="s">
        <v>606</v>
      </c>
      <c r="Z316" s="92" t="s">
        <v>770</v>
      </c>
      <c r="AA316" s="92" t="s">
        <v>1236</v>
      </c>
      <c r="AB316" s="92" t="s">
        <v>778</v>
      </c>
      <c r="AC316" s="92" t="s">
        <v>912</v>
      </c>
      <c r="AD316" s="92" t="s">
        <v>1167</v>
      </c>
      <c r="AE316" s="92"/>
      <c r="AF316" s="92"/>
    </row>
    <row r="317" spans="1:32" ht="12.75" customHeight="1">
      <c r="A317" s="92" t="s">
        <v>892</v>
      </c>
      <c r="B317" s="92" t="s">
        <v>52</v>
      </c>
      <c r="C317" s="92" t="s">
        <v>922</v>
      </c>
      <c r="D317" s="92"/>
      <c r="E317" s="92" t="s">
        <v>768</v>
      </c>
      <c r="F317" s="92"/>
      <c r="G317" s="263">
        <v>9921244</v>
      </c>
      <c r="H317" s="263">
        <v>1403931</v>
      </c>
      <c r="I317" s="156" t="s">
        <v>769</v>
      </c>
      <c r="J317" s="263">
        <v>8</v>
      </c>
      <c r="K317" s="263">
        <v>21</v>
      </c>
      <c r="L317" s="96">
        <v>295400</v>
      </c>
      <c r="M317" s="100">
        <v>44363</v>
      </c>
      <c r="N317" s="100">
        <v>44419</v>
      </c>
      <c r="O317" s="100">
        <v>44419</v>
      </c>
      <c r="P317" s="92" t="s">
        <v>2161</v>
      </c>
      <c r="Q317" s="92" t="s">
        <v>2162</v>
      </c>
      <c r="R317" s="92" t="s">
        <v>2163</v>
      </c>
      <c r="S317" s="92" t="s">
        <v>2164</v>
      </c>
      <c r="T317" s="92" t="s">
        <v>2165</v>
      </c>
      <c r="U317" s="92"/>
      <c r="V317" s="92"/>
      <c r="W317" s="92"/>
      <c r="X317" s="92"/>
      <c r="Y317" s="92" t="s">
        <v>606</v>
      </c>
      <c r="Z317" s="92" t="s">
        <v>770</v>
      </c>
      <c r="AA317" s="92" t="s">
        <v>1236</v>
      </c>
      <c r="AB317" s="92" t="s">
        <v>778</v>
      </c>
      <c r="AC317" s="92" t="s">
        <v>782</v>
      </c>
      <c r="AD317" s="92" t="s">
        <v>2166</v>
      </c>
      <c r="AE317" s="92"/>
      <c r="AF317" s="92"/>
    </row>
    <row r="318" spans="1:32" ht="12.75" customHeight="1">
      <c r="A318" s="92" t="s">
        <v>892</v>
      </c>
      <c r="B318" s="92" t="s">
        <v>52</v>
      </c>
      <c r="C318" s="92" t="s">
        <v>922</v>
      </c>
      <c r="D318" s="92"/>
      <c r="E318" s="92" t="s">
        <v>768</v>
      </c>
      <c r="F318" s="92"/>
      <c r="G318" s="263">
        <v>9923910</v>
      </c>
      <c r="H318" s="263">
        <v>1404642</v>
      </c>
      <c r="I318" s="156" t="s">
        <v>769</v>
      </c>
      <c r="J318" s="263">
        <v>8</v>
      </c>
      <c r="K318" s="263">
        <v>21</v>
      </c>
      <c r="L318" s="96">
        <v>6000</v>
      </c>
      <c r="M318" s="100">
        <v>44398</v>
      </c>
      <c r="N318" s="100">
        <v>44424</v>
      </c>
      <c r="O318" s="100">
        <v>44424</v>
      </c>
      <c r="P318" s="92" t="s">
        <v>2167</v>
      </c>
      <c r="Q318" s="92" t="s">
        <v>75</v>
      </c>
      <c r="R318" s="92" t="s">
        <v>2168</v>
      </c>
      <c r="S318" s="92" t="s">
        <v>798</v>
      </c>
      <c r="T318" s="92" t="s">
        <v>2169</v>
      </c>
      <c r="U318" s="92"/>
      <c r="V318" s="92"/>
      <c r="W318" s="92"/>
      <c r="X318" s="92"/>
      <c r="Y318" s="92" t="s">
        <v>606</v>
      </c>
      <c r="Z318" s="92" t="s">
        <v>770</v>
      </c>
      <c r="AA318" s="92" t="s">
        <v>1236</v>
      </c>
      <c r="AB318" s="92" t="s">
        <v>778</v>
      </c>
      <c r="AC318" s="92" t="s">
        <v>782</v>
      </c>
      <c r="AD318" s="92" t="s">
        <v>2170</v>
      </c>
      <c r="AE318" s="92"/>
      <c r="AF318" s="92"/>
    </row>
    <row r="319" spans="1:32" ht="12.75" customHeight="1">
      <c r="A319" s="92" t="s">
        <v>892</v>
      </c>
      <c r="B319" s="92" t="s">
        <v>1001</v>
      </c>
      <c r="C319" s="92" t="s">
        <v>922</v>
      </c>
      <c r="D319" s="92"/>
      <c r="E319" s="92" t="s">
        <v>768</v>
      </c>
      <c r="F319" s="92"/>
      <c r="G319" s="263">
        <v>9919478</v>
      </c>
      <c r="H319" s="263">
        <v>1403504</v>
      </c>
      <c r="I319" s="156" t="s">
        <v>769</v>
      </c>
      <c r="J319" s="263">
        <v>8</v>
      </c>
      <c r="K319" s="263">
        <v>21</v>
      </c>
      <c r="L319" s="96">
        <v>87500</v>
      </c>
      <c r="M319" s="100">
        <v>44411</v>
      </c>
      <c r="N319" s="100">
        <v>44414</v>
      </c>
      <c r="O319" s="100">
        <v>44414</v>
      </c>
      <c r="P319" s="92" t="s">
        <v>2171</v>
      </c>
      <c r="Q319" s="92" t="s">
        <v>2172</v>
      </c>
      <c r="R319" s="92" t="s">
        <v>2173</v>
      </c>
      <c r="S319" s="92" t="s">
        <v>2174</v>
      </c>
      <c r="T319" s="92" t="s">
        <v>2175</v>
      </c>
      <c r="U319" s="92"/>
      <c r="V319" s="92"/>
      <c r="W319" s="92"/>
      <c r="X319" s="92"/>
      <c r="Y319" s="92" t="s">
        <v>606</v>
      </c>
      <c r="Z319" s="92" t="s">
        <v>770</v>
      </c>
      <c r="AA319" s="92" t="s">
        <v>1236</v>
      </c>
      <c r="AB319" s="92" t="s">
        <v>778</v>
      </c>
      <c r="AC319" s="92" t="s">
        <v>1002</v>
      </c>
      <c r="AD319" s="92" t="s">
        <v>2176</v>
      </c>
      <c r="AE319" s="92"/>
      <c r="AF319" s="92"/>
    </row>
    <row r="320" spans="1:32" ht="12.75" customHeight="1">
      <c r="A320" s="92" t="s">
        <v>892</v>
      </c>
      <c r="B320" s="92" t="s">
        <v>1001</v>
      </c>
      <c r="C320" s="92" t="s">
        <v>922</v>
      </c>
      <c r="D320" s="92"/>
      <c r="E320" s="92" t="s">
        <v>768</v>
      </c>
      <c r="F320" s="92"/>
      <c r="G320" s="263">
        <v>9920416</v>
      </c>
      <c r="H320" s="263">
        <v>1403835</v>
      </c>
      <c r="I320" s="156" t="s">
        <v>769</v>
      </c>
      <c r="J320" s="263">
        <v>8</v>
      </c>
      <c r="K320" s="263">
        <v>21</v>
      </c>
      <c r="L320" s="96">
        <v>47225</v>
      </c>
      <c r="M320" s="100">
        <v>44320</v>
      </c>
      <c r="N320" s="100">
        <v>44417</v>
      </c>
      <c r="O320" s="100">
        <v>44417</v>
      </c>
      <c r="P320" s="92" t="s">
        <v>2177</v>
      </c>
      <c r="Q320" s="92" t="s">
        <v>1201</v>
      </c>
      <c r="R320" s="92" t="s">
        <v>2178</v>
      </c>
      <c r="S320" s="92" t="s">
        <v>1683</v>
      </c>
      <c r="T320" s="92" t="s">
        <v>2179</v>
      </c>
      <c r="U320" s="92"/>
      <c r="V320" s="92"/>
      <c r="W320" s="92"/>
      <c r="X320" s="92"/>
      <c r="Y320" s="92" t="s">
        <v>606</v>
      </c>
      <c r="Z320" s="92" t="s">
        <v>770</v>
      </c>
      <c r="AA320" s="92" t="s">
        <v>1236</v>
      </c>
      <c r="AB320" s="92" t="s">
        <v>778</v>
      </c>
      <c r="AC320" s="92" t="s">
        <v>1002</v>
      </c>
      <c r="AD320" s="92" t="s">
        <v>1301</v>
      </c>
      <c r="AE320" s="92"/>
      <c r="AF320" s="92"/>
    </row>
    <row r="321" spans="1:32" ht="12.75" customHeight="1">
      <c r="A321" s="92" t="s">
        <v>620</v>
      </c>
      <c r="B321" s="92" t="s">
        <v>71</v>
      </c>
      <c r="C321" s="92" t="s">
        <v>922</v>
      </c>
      <c r="D321" s="92"/>
      <c r="E321" s="92" t="s">
        <v>49</v>
      </c>
      <c r="F321" s="92"/>
      <c r="G321" s="263">
        <v>9914913</v>
      </c>
      <c r="H321" s="263">
        <v>18273461</v>
      </c>
      <c r="I321" s="156" t="s">
        <v>772</v>
      </c>
      <c r="J321" s="263">
        <v>8</v>
      </c>
      <c r="K321" s="263">
        <v>21</v>
      </c>
      <c r="L321" s="96">
        <v>-12000</v>
      </c>
      <c r="M321" s="100">
        <v>44409</v>
      </c>
      <c r="N321" s="100">
        <v>44409</v>
      </c>
      <c r="O321" s="100">
        <v>44405</v>
      </c>
      <c r="P321" s="92" t="s">
        <v>1220</v>
      </c>
      <c r="Q321" s="92" t="s">
        <v>2107</v>
      </c>
      <c r="R321" s="92"/>
      <c r="S321" s="92">
        <v>0</v>
      </c>
      <c r="T321" s="92" t="s">
        <v>1969</v>
      </c>
      <c r="U321" s="92"/>
      <c r="V321" s="92"/>
      <c r="W321" s="92" t="s">
        <v>1293</v>
      </c>
      <c r="X321" s="92"/>
      <c r="Y321" s="92" t="s">
        <v>606</v>
      </c>
      <c r="Z321" s="92" t="s">
        <v>770</v>
      </c>
      <c r="AA321" s="92" t="s">
        <v>1041</v>
      </c>
      <c r="AB321" s="92" t="s">
        <v>1891</v>
      </c>
      <c r="AC321" s="92" t="s">
        <v>910</v>
      </c>
      <c r="AD321" s="92" t="s">
        <v>1970</v>
      </c>
      <c r="AE321" s="92"/>
      <c r="AF321" s="92"/>
    </row>
    <row r="322" spans="1:32" ht="12.75" customHeight="1">
      <c r="A322" s="92" t="s">
        <v>620</v>
      </c>
      <c r="B322" s="92" t="s">
        <v>71</v>
      </c>
      <c r="C322" s="92" t="s">
        <v>922</v>
      </c>
      <c r="D322" s="92"/>
      <c r="E322" s="92" t="s">
        <v>49</v>
      </c>
      <c r="F322" s="92"/>
      <c r="G322" s="263">
        <v>9915029</v>
      </c>
      <c r="H322" s="263">
        <v>18273498</v>
      </c>
      <c r="I322" s="156" t="s">
        <v>772</v>
      </c>
      <c r="J322" s="263">
        <v>8</v>
      </c>
      <c r="K322" s="263">
        <v>21</v>
      </c>
      <c r="L322" s="96">
        <v>12000</v>
      </c>
      <c r="M322" s="100">
        <v>44409</v>
      </c>
      <c r="N322" s="100">
        <v>44409</v>
      </c>
      <c r="O322" s="100">
        <v>44405</v>
      </c>
      <c r="P322" s="92" t="s">
        <v>1220</v>
      </c>
      <c r="Q322" s="92" t="s">
        <v>2108</v>
      </c>
      <c r="R322" s="92"/>
      <c r="S322" s="92">
        <v>0</v>
      </c>
      <c r="T322" s="92" t="s">
        <v>1969</v>
      </c>
      <c r="U322" s="92"/>
      <c r="V322" s="92"/>
      <c r="W322" s="92" t="s">
        <v>957</v>
      </c>
      <c r="X322" s="92"/>
      <c r="Y322" s="92" t="s">
        <v>606</v>
      </c>
      <c r="Z322" s="92" t="s">
        <v>770</v>
      </c>
      <c r="AA322" s="92" t="s">
        <v>1041</v>
      </c>
      <c r="AB322" s="92" t="s">
        <v>778</v>
      </c>
      <c r="AC322" s="92" t="s">
        <v>910</v>
      </c>
      <c r="AD322" s="92" t="s">
        <v>1970</v>
      </c>
      <c r="AE322" s="92"/>
      <c r="AF322" s="92"/>
    </row>
    <row r="323" spans="1:32" ht="12.75" customHeight="1">
      <c r="A323" s="92" t="s">
        <v>620</v>
      </c>
      <c r="B323" s="92" t="s">
        <v>71</v>
      </c>
      <c r="C323" s="92" t="s">
        <v>922</v>
      </c>
      <c r="D323" s="92"/>
      <c r="E323" s="92" t="s">
        <v>768</v>
      </c>
      <c r="F323" s="92"/>
      <c r="G323" s="263">
        <v>9921338</v>
      </c>
      <c r="H323" s="263">
        <v>1404023</v>
      </c>
      <c r="I323" s="156" t="s">
        <v>769</v>
      </c>
      <c r="J323" s="263">
        <v>8</v>
      </c>
      <c r="K323" s="263">
        <v>21</v>
      </c>
      <c r="L323" s="96">
        <v>41644</v>
      </c>
      <c r="M323" s="100">
        <v>44418</v>
      </c>
      <c r="N323" s="100">
        <v>44419</v>
      </c>
      <c r="O323" s="100">
        <v>44419</v>
      </c>
      <c r="P323" s="92" t="s">
        <v>1090</v>
      </c>
      <c r="Q323" s="92" t="s">
        <v>21</v>
      </c>
      <c r="R323" s="92" t="s">
        <v>2180</v>
      </c>
      <c r="S323" s="92" t="s">
        <v>1089</v>
      </c>
      <c r="T323" s="92" t="s">
        <v>2181</v>
      </c>
      <c r="U323" s="92"/>
      <c r="V323" s="92"/>
      <c r="W323" s="92"/>
      <c r="X323" s="92"/>
      <c r="Y323" s="92" t="s">
        <v>606</v>
      </c>
      <c r="Z323" s="92" t="s">
        <v>770</v>
      </c>
      <c r="AA323" s="92" t="s">
        <v>1236</v>
      </c>
      <c r="AB323" s="92" t="s">
        <v>778</v>
      </c>
      <c r="AC323" s="92" t="s">
        <v>910</v>
      </c>
      <c r="AD323" s="92" t="s">
        <v>2182</v>
      </c>
      <c r="AE323" s="92"/>
      <c r="AF323" s="92"/>
    </row>
    <row r="324" spans="1:32" ht="12.75" customHeight="1">
      <c r="A324" s="92" t="s">
        <v>892</v>
      </c>
      <c r="B324" s="92" t="s">
        <v>50</v>
      </c>
      <c r="C324" s="92" t="s">
        <v>922</v>
      </c>
      <c r="D324" s="92"/>
      <c r="E324" s="92" t="s">
        <v>49</v>
      </c>
      <c r="F324" s="92"/>
      <c r="G324" s="263">
        <v>9914913</v>
      </c>
      <c r="H324" s="263">
        <v>18273461</v>
      </c>
      <c r="I324" s="156" t="s">
        <v>772</v>
      </c>
      <c r="J324" s="263">
        <v>8</v>
      </c>
      <c r="K324" s="263">
        <v>21</v>
      </c>
      <c r="L324" s="96">
        <v>-60000</v>
      </c>
      <c r="M324" s="100">
        <v>44409</v>
      </c>
      <c r="N324" s="100">
        <v>44409</v>
      </c>
      <c r="O324" s="100">
        <v>44405</v>
      </c>
      <c r="P324" s="92" t="s">
        <v>2183</v>
      </c>
      <c r="Q324" s="92" t="s">
        <v>2107</v>
      </c>
      <c r="R324" s="92"/>
      <c r="S324" s="92">
        <v>0</v>
      </c>
      <c r="T324" s="92" t="s">
        <v>1945</v>
      </c>
      <c r="U324" s="92"/>
      <c r="V324" s="92"/>
      <c r="W324" s="92" t="s">
        <v>1293</v>
      </c>
      <c r="X324" s="92"/>
      <c r="Y324" s="92" t="s">
        <v>606</v>
      </c>
      <c r="Z324" s="92" t="s">
        <v>770</v>
      </c>
      <c r="AA324" s="92" t="s">
        <v>1041</v>
      </c>
      <c r="AB324" s="92" t="s">
        <v>1891</v>
      </c>
      <c r="AC324" s="92" t="s">
        <v>925</v>
      </c>
      <c r="AD324" s="92" t="s">
        <v>1946</v>
      </c>
      <c r="AE324" s="92"/>
      <c r="AF324" s="92"/>
    </row>
    <row r="325" spans="1:32" ht="12.75" customHeight="1">
      <c r="A325" s="92" t="s">
        <v>892</v>
      </c>
      <c r="B325" s="92" t="s">
        <v>50</v>
      </c>
      <c r="C325" s="92" t="s">
        <v>922</v>
      </c>
      <c r="D325" s="92"/>
      <c r="E325" s="92" t="s">
        <v>49</v>
      </c>
      <c r="F325" s="92"/>
      <c r="G325" s="263">
        <v>9915029</v>
      </c>
      <c r="H325" s="263">
        <v>18273498</v>
      </c>
      <c r="I325" s="156" t="s">
        <v>772</v>
      </c>
      <c r="J325" s="263">
        <v>8</v>
      </c>
      <c r="K325" s="263">
        <v>21</v>
      </c>
      <c r="L325" s="96">
        <v>60000</v>
      </c>
      <c r="M325" s="100">
        <v>44409</v>
      </c>
      <c r="N325" s="100">
        <v>44409</v>
      </c>
      <c r="O325" s="100">
        <v>44405</v>
      </c>
      <c r="P325" s="92" t="s">
        <v>2183</v>
      </c>
      <c r="Q325" s="92" t="s">
        <v>2108</v>
      </c>
      <c r="R325" s="92"/>
      <c r="S325" s="92">
        <v>0</v>
      </c>
      <c r="T325" s="92" t="s">
        <v>1945</v>
      </c>
      <c r="U325" s="92"/>
      <c r="V325" s="92"/>
      <c r="W325" s="92" t="s">
        <v>957</v>
      </c>
      <c r="X325" s="92"/>
      <c r="Y325" s="92" t="s">
        <v>606</v>
      </c>
      <c r="Z325" s="92" t="s">
        <v>770</v>
      </c>
      <c r="AA325" s="92" t="s">
        <v>1041</v>
      </c>
      <c r="AB325" s="92" t="s">
        <v>778</v>
      </c>
      <c r="AC325" s="92" t="s">
        <v>925</v>
      </c>
      <c r="AD325" s="92" t="s">
        <v>1946</v>
      </c>
      <c r="AE325" s="92"/>
      <c r="AF325" s="92"/>
    </row>
    <row r="326" spans="1:32" ht="12.75" customHeight="1">
      <c r="A326" s="92" t="s">
        <v>892</v>
      </c>
      <c r="B326" s="92" t="s">
        <v>50</v>
      </c>
      <c r="C326" s="92" t="s">
        <v>922</v>
      </c>
      <c r="D326" s="92"/>
      <c r="E326" s="92" t="s">
        <v>768</v>
      </c>
      <c r="F326" s="92"/>
      <c r="G326" s="263">
        <v>9916700</v>
      </c>
      <c r="H326" s="263">
        <v>1402737</v>
      </c>
      <c r="I326" s="156" t="s">
        <v>769</v>
      </c>
      <c r="J326" s="263">
        <v>8</v>
      </c>
      <c r="K326" s="263">
        <v>21</v>
      </c>
      <c r="L326" s="96">
        <v>538800</v>
      </c>
      <c r="M326" s="100">
        <v>44400</v>
      </c>
      <c r="N326" s="100">
        <v>44410</v>
      </c>
      <c r="O326" s="100">
        <v>44410</v>
      </c>
      <c r="P326" s="92" t="s">
        <v>2184</v>
      </c>
      <c r="Q326" s="92" t="s">
        <v>2185</v>
      </c>
      <c r="R326" s="92" t="s">
        <v>2186</v>
      </c>
      <c r="S326" s="92" t="s">
        <v>2187</v>
      </c>
      <c r="T326" s="92" t="s">
        <v>2188</v>
      </c>
      <c r="U326" s="92"/>
      <c r="V326" s="92"/>
      <c r="W326" s="92"/>
      <c r="X326" s="92"/>
      <c r="Y326" s="92" t="s">
        <v>606</v>
      </c>
      <c r="Z326" s="92" t="s">
        <v>770</v>
      </c>
      <c r="AA326" s="92" t="s">
        <v>1236</v>
      </c>
      <c r="AB326" s="92" t="s">
        <v>778</v>
      </c>
      <c r="AC326" s="92" t="s">
        <v>925</v>
      </c>
      <c r="AD326" s="92" t="s">
        <v>2189</v>
      </c>
      <c r="AE326" s="92"/>
      <c r="AF326" s="92"/>
    </row>
    <row r="327" spans="1:32" ht="12.75" customHeight="1">
      <c r="A327" s="92" t="s">
        <v>846</v>
      </c>
      <c r="B327" s="92" t="s">
        <v>72</v>
      </c>
      <c r="C327" s="92" t="s">
        <v>922</v>
      </c>
      <c r="D327" s="92"/>
      <c r="E327" s="92" t="s">
        <v>49</v>
      </c>
      <c r="F327" s="92"/>
      <c r="G327" s="263">
        <v>9914913</v>
      </c>
      <c r="H327" s="263">
        <v>18273461</v>
      </c>
      <c r="I327" s="156" t="s">
        <v>772</v>
      </c>
      <c r="J327" s="263">
        <v>8</v>
      </c>
      <c r="K327" s="263">
        <v>21</v>
      </c>
      <c r="L327" s="96">
        <v>-6300</v>
      </c>
      <c r="M327" s="100">
        <v>44409</v>
      </c>
      <c r="N327" s="100">
        <v>44409</v>
      </c>
      <c r="O327" s="100">
        <v>44405</v>
      </c>
      <c r="P327" s="92" t="s">
        <v>1224</v>
      </c>
      <c r="Q327" s="92" t="s">
        <v>2107</v>
      </c>
      <c r="R327" s="92"/>
      <c r="S327" s="92">
        <v>0</v>
      </c>
      <c r="T327" s="92" t="s">
        <v>1918</v>
      </c>
      <c r="U327" s="92"/>
      <c r="V327" s="92"/>
      <c r="W327" s="92" t="s">
        <v>1293</v>
      </c>
      <c r="X327" s="92"/>
      <c r="Y327" s="92" t="s">
        <v>606</v>
      </c>
      <c r="Z327" s="92" t="s">
        <v>770</v>
      </c>
      <c r="AA327" s="92" t="s">
        <v>1041</v>
      </c>
      <c r="AB327" s="92" t="s">
        <v>1891</v>
      </c>
      <c r="AC327" s="92" t="s">
        <v>786</v>
      </c>
      <c r="AD327" s="92" t="s">
        <v>1919</v>
      </c>
      <c r="AE327" s="92"/>
      <c r="AF327" s="92"/>
    </row>
    <row r="328" spans="1:32" ht="12.75" customHeight="1">
      <c r="A328" s="92" t="s">
        <v>846</v>
      </c>
      <c r="B328" s="92" t="s">
        <v>72</v>
      </c>
      <c r="C328" s="92" t="s">
        <v>922</v>
      </c>
      <c r="D328" s="92"/>
      <c r="E328" s="92" t="s">
        <v>49</v>
      </c>
      <c r="F328" s="92"/>
      <c r="G328" s="263">
        <v>9914913</v>
      </c>
      <c r="H328" s="263">
        <v>18273461</v>
      </c>
      <c r="I328" s="156" t="s">
        <v>772</v>
      </c>
      <c r="J328" s="263">
        <v>8</v>
      </c>
      <c r="K328" s="263">
        <v>21</v>
      </c>
      <c r="L328" s="96">
        <v>-10000</v>
      </c>
      <c r="M328" s="100">
        <v>44409</v>
      </c>
      <c r="N328" s="100">
        <v>44409</v>
      </c>
      <c r="O328" s="100">
        <v>44405</v>
      </c>
      <c r="P328" s="92" t="s">
        <v>2190</v>
      </c>
      <c r="Q328" s="92" t="s">
        <v>2107</v>
      </c>
      <c r="R328" s="92"/>
      <c r="S328" s="92">
        <v>0</v>
      </c>
      <c r="T328" s="92" t="s">
        <v>1921</v>
      </c>
      <c r="U328" s="92"/>
      <c r="V328" s="92"/>
      <c r="W328" s="92" t="s">
        <v>1293</v>
      </c>
      <c r="X328" s="92"/>
      <c r="Y328" s="92" t="s">
        <v>606</v>
      </c>
      <c r="Z328" s="92" t="s">
        <v>770</v>
      </c>
      <c r="AA328" s="92" t="s">
        <v>1041</v>
      </c>
      <c r="AB328" s="92" t="s">
        <v>1891</v>
      </c>
      <c r="AC328" s="92" t="s">
        <v>786</v>
      </c>
      <c r="AD328" s="92" t="s">
        <v>1922</v>
      </c>
      <c r="AE328" s="92"/>
      <c r="AF328" s="92"/>
    </row>
    <row r="329" spans="1:32" ht="12.75" customHeight="1">
      <c r="A329" s="92" t="s">
        <v>846</v>
      </c>
      <c r="B329" s="92" t="s">
        <v>72</v>
      </c>
      <c r="C329" s="92" t="s">
        <v>922</v>
      </c>
      <c r="D329" s="92"/>
      <c r="E329" s="92" t="s">
        <v>49</v>
      </c>
      <c r="F329" s="92"/>
      <c r="G329" s="263">
        <v>9914913</v>
      </c>
      <c r="H329" s="263">
        <v>18273461</v>
      </c>
      <c r="I329" s="156" t="s">
        <v>772</v>
      </c>
      <c r="J329" s="263">
        <v>8</v>
      </c>
      <c r="K329" s="263">
        <v>21</v>
      </c>
      <c r="L329" s="96">
        <v>-35000</v>
      </c>
      <c r="M329" s="100">
        <v>44409</v>
      </c>
      <c r="N329" s="100">
        <v>44409</v>
      </c>
      <c r="O329" s="100">
        <v>44405</v>
      </c>
      <c r="P329" s="92" t="s">
        <v>1227</v>
      </c>
      <c r="Q329" s="92" t="s">
        <v>2107</v>
      </c>
      <c r="R329" s="92"/>
      <c r="S329" s="92">
        <v>0</v>
      </c>
      <c r="T329" s="92" t="s">
        <v>1924</v>
      </c>
      <c r="U329" s="92"/>
      <c r="V329" s="92"/>
      <c r="W329" s="92" t="s">
        <v>1293</v>
      </c>
      <c r="X329" s="92"/>
      <c r="Y329" s="92" t="s">
        <v>606</v>
      </c>
      <c r="Z329" s="92" t="s">
        <v>770</v>
      </c>
      <c r="AA329" s="92" t="s">
        <v>1041</v>
      </c>
      <c r="AB329" s="92" t="s">
        <v>1891</v>
      </c>
      <c r="AC329" s="92" t="s">
        <v>786</v>
      </c>
      <c r="AD329" s="92" t="s">
        <v>1071</v>
      </c>
      <c r="AE329" s="92"/>
      <c r="AF329" s="92"/>
    </row>
    <row r="330" spans="1:32" ht="12.75" customHeight="1">
      <c r="A330" s="92" t="s">
        <v>846</v>
      </c>
      <c r="B330" s="92" t="s">
        <v>72</v>
      </c>
      <c r="C330" s="92" t="s">
        <v>922</v>
      </c>
      <c r="D330" s="92"/>
      <c r="E330" s="92" t="s">
        <v>49</v>
      </c>
      <c r="F330" s="92"/>
      <c r="G330" s="263">
        <v>9915029</v>
      </c>
      <c r="H330" s="263">
        <v>18273498</v>
      </c>
      <c r="I330" s="156" t="s">
        <v>772</v>
      </c>
      <c r="J330" s="263">
        <v>8</v>
      </c>
      <c r="K330" s="263">
        <v>21</v>
      </c>
      <c r="L330" s="96">
        <v>6300</v>
      </c>
      <c r="M330" s="100">
        <v>44409</v>
      </c>
      <c r="N330" s="100">
        <v>44409</v>
      </c>
      <c r="O330" s="100">
        <v>44405</v>
      </c>
      <c r="P330" s="92" t="s">
        <v>1224</v>
      </c>
      <c r="Q330" s="92" t="s">
        <v>2108</v>
      </c>
      <c r="R330" s="92"/>
      <c r="S330" s="92">
        <v>0</v>
      </c>
      <c r="T330" s="92" t="s">
        <v>1918</v>
      </c>
      <c r="U330" s="92"/>
      <c r="V330" s="92"/>
      <c r="W330" s="92" t="s">
        <v>957</v>
      </c>
      <c r="X330" s="92"/>
      <c r="Y330" s="92" t="s">
        <v>606</v>
      </c>
      <c r="Z330" s="92" t="s">
        <v>770</v>
      </c>
      <c r="AA330" s="92" t="s">
        <v>1041</v>
      </c>
      <c r="AB330" s="92" t="s">
        <v>778</v>
      </c>
      <c r="AC330" s="92" t="s">
        <v>786</v>
      </c>
      <c r="AD330" s="92" t="s">
        <v>1919</v>
      </c>
      <c r="AE330" s="92"/>
      <c r="AF330" s="92"/>
    </row>
    <row r="331" spans="1:32" ht="12.75" customHeight="1">
      <c r="A331" s="92" t="s">
        <v>846</v>
      </c>
      <c r="B331" s="92" t="s">
        <v>72</v>
      </c>
      <c r="C331" s="92" t="s">
        <v>922</v>
      </c>
      <c r="D331" s="92"/>
      <c r="E331" s="92" t="s">
        <v>49</v>
      </c>
      <c r="F331" s="92"/>
      <c r="G331" s="263">
        <v>9915029</v>
      </c>
      <c r="H331" s="263">
        <v>18273498</v>
      </c>
      <c r="I331" s="156" t="s">
        <v>772</v>
      </c>
      <c r="J331" s="263">
        <v>8</v>
      </c>
      <c r="K331" s="263">
        <v>21</v>
      </c>
      <c r="L331" s="96">
        <v>10000</v>
      </c>
      <c r="M331" s="100">
        <v>44409</v>
      </c>
      <c r="N331" s="100">
        <v>44409</v>
      </c>
      <c r="O331" s="100">
        <v>44405</v>
      </c>
      <c r="P331" s="92" t="s">
        <v>2190</v>
      </c>
      <c r="Q331" s="92" t="s">
        <v>2108</v>
      </c>
      <c r="R331" s="92"/>
      <c r="S331" s="92">
        <v>0</v>
      </c>
      <c r="T331" s="92" t="s">
        <v>1921</v>
      </c>
      <c r="U331" s="92"/>
      <c r="V331" s="92"/>
      <c r="W331" s="92" t="s">
        <v>957</v>
      </c>
      <c r="X331" s="92"/>
      <c r="Y331" s="92" t="s">
        <v>606</v>
      </c>
      <c r="Z331" s="92" t="s">
        <v>770</v>
      </c>
      <c r="AA331" s="92" t="s">
        <v>1041</v>
      </c>
      <c r="AB331" s="92" t="s">
        <v>778</v>
      </c>
      <c r="AC331" s="92" t="s">
        <v>786</v>
      </c>
      <c r="AD331" s="92" t="s">
        <v>1922</v>
      </c>
      <c r="AE331" s="92"/>
      <c r="AF331" s="92"/>
    </row>
    <row r="332" spans="1:32" ht="12.75" customHeight="1">
      <c r="A332" s="92" t="s">
        <v>846</v>
      </c>
      <c r="B332" s="92" t="s">
        <v>72</v>
      </c>
      <c r="C332" s="92" t="s">
        <v>922</v>
      </c>
      <c r="D332" s="92"/>
      <c r="E332" s="92" t="s">
        <v>49</v>
      </c>
      <c r="F332" s="92"/>
      <c r="G332" s="263">
        <v>9915029</v>
      </c>
      <c r="H332" s="263">
        <v>18273498</v>
      </c>
      <c r="I332" s="156" t="s">
        <v>772</v>
      </c>
      <c r="J332" s="263">
        <v>8</v>
      </c>
      <c r="K332" s="263">
        <v>21</v>
      </c>
      <c r="L332" s="96">
        <v>35000</v>
      </c>
      <c r="M332" s="100">
        <v>44409</v>
      </c>
      <c r="N332" s="100">
        <v>44409</v>
      </c>
      <c r="O332" s="100">
        <v>44405</v>
      </c>
      <c r="P332" s="92" t="s">
        <v>1227</v>
      </c>
      <c r="Q332" s="92" t="s">
        <v>2108</v>
      </c>
      <c r="R332" s="92"/>
      <c r="S332" s="92">
        <v>0</v>
      </c>
      <c r="T332" s="92" t="s">
        <v>1924</v>
      </c>
      <c r="U332" s="92"/>
      <c r="V332" s="92"/>
      <c r="W332" s="92" t="s">
        <v>957</v>
      </c>
      <c r="X332" s="92"/>
      <c r="Y332" s="92" t="s">
        <v>606</v>
      </c>
      <c r="Z332" s="92" t="s">
        <v>770</v>
      </c>
      <c r="AA332" s="92" t="s">
        <v>1041</v>
      </c>
      <c r="AB332" s="92" t="s">
        <v>778</v>
      </c>
      <c r="AC332" s="92" t="s">
        <v>786</v>
      </c>
      <c r="AD332" s="92" t="s">
        <v>1071</v>
      </c>
      <c r="AE332" s="92"/>
      <c r="AF332" s="92"/>
    </row>
    <row r="333" spans="1:32" ht="12.75" customHeight="1">
      <c r="A333" s="92" t="s">
        <v>846</v>
      </c>
      <c r="B333" s="92" t="s">
        <v>72</v>
      </c>
      <c r="C333" s="92" t="s">
        <v>922</v>
      </c>
      <c r="D333" s="92"/>
      <c r="E333" s="92" t="s">
        <v>775</v>
      </c>
      <c r="F333" s="92"/>
      <c r="G333" s="263">
        <v>9923387</v>
      </c>
      <c r="H333" s="263">
        <v>3865859</v>
      </c>
      <c r="I333" s="156" t="s">
        <v>776</v>
      </c>
      <c r="J333" s="263">
        <v>8</v>
      </c>
      <c r="K333" s="263">
        <v>21</v>
      </c>
      <c r="L333" s="96">
        <v>654.12</v>
      </c>
      <c r="M333" s="100">
        <v>44439</v>
      </c>
      <c r="N333" s="100">
        <v>44422</v>
      </c>
      <c r="O333" s="100">
        <v>44422</v>
      </c>
      <c r="P333" s="92" t="s">
        <v>777</v>
      </c>
      <c r="Q333" s="92" t="s">
        <v>1722</v>
      </c>
      <c r="R333" s="92"/>
      <c r="S333" s="92" t="s">
        <v>1988</v>
      </c>
      <c r="T333" s="92" t="s">
        <v>2191</v>
      </c>
      <c r="U333" s="92"/>
      <c r="V333" s="92"/>
      <c r="W333" s="92"/>
      <c r="X333" s="92"/>
      <c r="Y333" s="92" t="s">
        <v>606</v>
      </c>
      <c r="Z333" s="92" t="s">
        <v>770</v>
      </c>
      <c r="AA333" s="92" t="s">
        <v>778</v>
      </c>
      <c r="AB333" s="92" t="s">
        <v>778</v>
      </c>
      <c r="AC333" s="92" t="s">
        <v>786</v>
      </c>
      <c r="AD333" s="92"/>
      <c r="AE333" s="92"/>
      <c r="AF333" s="92"/>
    </row>
    <row r="334" spans="1:32" ht="12.75" customHeight="1">
      <c r="A334" s="92" t="s">
        <v>846</v>
      </c>
      <c r="B334" s="92" t="s">
        <v>47</v>
      </c>
      <c r="C334" s="92" t="s">
        <v>922</v>
      </c>
      <c r="D334" s="92"/>
      <c r="E334" s="92" t="s">
        <v>49</v>
      </c>
      <c r="F334" s="92"/>
      <c r="G334" s="263">
        <v>9914913</v>
      </c>
      <c r="H334" s="263">
        <v>18273461</v>
      </c>
      <c r="I334" s="156" t="s">
        <v>772</v>
      </c>
      <c r="J334" s="263">
        <v>8</v>
      </c>
      <c r="K334" s="263">
        <v>21</v>
      </c>
      <c r="L334" s="96">
        <v>-15000</v>
      </c>
      <c r="M334" s="100">
        <v>44409</v>
      </c>
      <c r="N334" s="100">
        <v>44409</v>
      </c>
      <c r="O334" s="100">
        <v>44405</v>
      </c>
      <c r="P334" s="92" t="s">
        <v>2192</v>
      </c>
      <c r="Q334" s="92" t="s">
        <v>2107</v>
      </c>
      <c r="R334" s="92"/>
      <c r="S334" s="92">
        <v>0</v>
      </c>
      <c r="T334" s="92" t="s">
        <v>1908</v>
      </c>
      <c r="U334" s="92"/>
      <c r="V334" s="92"/>
      <c r="W334" s="92" t="s">
        <v>1293</v>
      </c>
      <c r="X334" s="92"/>
      <c r="Y334" s="92" t="s">
        <v>606</v>
      </c>
      <c r="Z334" s="92" t="s">
        <v>770</v>
      </c>
      <c r="AA334" s="92" t="s">
        <v>1041</v>
      </c>
      <c r="AB334" s="92" t="s">
        <v>1891</v>
      </c>
      <c r="AC334" s="92" t="s">
        <v>789</v>
      </c>
      <c r="AD334" s="92" t="s">
        <v>1909</v>
      </c>
      <c r="AE334" s="92"/>
      <c r="AF334" s="92"/>
    </row>
    <row r="335" spans="1:32" ht="12.75" customHeight="1">
      <c r="A335" s="92" t="s">
        <v>846</v>
      </c>
      <c r="B335" s="92" t="s">
        <v>47</v>
      </c>
      <c r="C335" s="92" t="s">
        <v>922</v>
      </c>
      <c r="D335" s="92"/>
      <c r="E335" s="92" t="s">
        <v>49</v>
      </c>
      <c r="F335" s="92"/>
      <c r="G335" s="263">
        <v>9915029</v>
      </c>
      <c r="H335" s="263">
        <v>18273498</v>
      </c>
      <c r="I335" s="156" t="s">
        <v>772</v>
      </c>
      <c r="J335" s="263">
        <v>8</v>
      </c>
      <c r="K335" s="263">
        <v>21</v>
      </c>
      <c r="L335" s="96">
        <v>15000</v>
      </c>
      <c r="M335" s="100">
        <v>44409</v>
      </c>
      <c r="N335" s="100">
        <v>44409</v>
      </c>
      <c r="O335" s="100">
        <v>44405</v>
      </c>
      <c r="P335" s="92" t="s">
        <v>2192</v>
      </c>
      <c r="Q335" s="92" t="s">
        <v>2108</v>
      </c>
      <c r="R335" s="92"/>
      <c r="S335" s="92">
        <v>0</v>
      </c>
      <c r="T335" s="92" t="s">
        <v>1908</v>
      </c>
      <c r="U335" s="92"/>
      <c r="V335" s="92"/>
      <c r="W335" s="92" t="s">
        <v>957</v>
      </c>
      <c r="X335" s="92"/>
      <c r="Y335" s="92" t="s">
        <v>606</v>
      </c>
      <c r="Z335" s="92" t="s">
        <v>770</v>
      </c>
      <c r="AA335" s="92" t="s">
        <v>1041</v>
      </c>
      <c r="AB335" s="92" t="s">
        <v>778</v>
      </c>
      <c r="AC335" s="92" t="s">
        <v>789</v>
      </c>
      <c r="AD335" s="92" t="s">
        <v>1909</v>
      </c>
      <c r="AE335" s="92"/>
      <c r="AF335" s="92"/>
    </row>
    <row r="336" spans="1:32" ht="12.75" customHeight="1">
      <c r="A336" s="98" t="s">
        <v>846</v>
      </c>
      <c r="B336" s="98" t="s">
        <v>47</v>
      </c>
      <c r="C336" s="98" t="s">
        <v>922</v>
      </c>
      <c r="D336" s="98"/>
      <c r="E336" s="98" t="s">
        <v>768</v>
      </c>
      <c r="F336" s="98"/>
      <c r="G336" s="263">
        <v>9918450</v>
      </c>
      <c r="H336" s="263">
        <v>1403137</v>
      </c>
      <c r="I336" s="157" t="s">
        <v>769</v>
      </c>
      <c r="J336" s="263">
        <v>8</v>
      </c>
      <c r="K336" s="263">
        <v>21</v>
      </c>
      <c r="L336" s="187">
        <v>33385.18</v>
      </c>
      <c r="M336" s="101">
        <v>44385</v>
      </c>
      <c r="N336" s="101">
        <v>44412</v>
      </c>
      <c r="O336" s="101">
        <v>44412</v>
      </c>
      <c r="P336" s="98" t="s">
        <v>2193</v>
      </c>
      <c r="Q336" s="98" t="s">
        <v>1109</v>
      </c>
      <c r="R336" s="98" t="s">
        <v>2194</v>
      </c>
      <c r="S336" s="98" t="s">
        <v>1110</v>
      </c>
      <c r="T336" s="98" t="s">
        <v>2195</v>
      </c>
      <c r="U336" s="98"/>
      <c r="V336" s="98"/>
      <c r="W336" s="98"/>
      <c r="X336" s="98"/>
      <c r="Y336" s="98" t="s">
        <v>606</v>
      </c>
      <c r="Z336" s="98" t="s">
        <v>770</v>
      </c>
      <c r="AA336" s="98" t="s">
        <v>1236</v>
      </c>
      <c r="AB336" s="98" t="s">
        <v>778</v>
      </c>
      <c r="AC336" s="98" t="s">
        <v>789</v>
      </c>
      <c r="AD336" s="98" t="s">
        <v>1108</v>
      </c>
      <c r="AE336" s="98"/>
      <c r="AF336" s="98"/>
    </row>
    <row r="337" spans="1:32" ht="12.75" customHeight="1">
      <c r="A337" s="102" t="s">
        <v>602</v>
      </c>
      <c r="B337" s="102"/>
      <c r="C337" s="102"/>
      <c r="D337" s="102"/>
      <c r="E337" s="102"/>
      <c r="F337" s="102"/>
      <c r="G337" s="160"/>
      <c r="H337" s="160"/>
      <c r="I337" s="160"/>
      <c r="J337" s="160"/>
      <c r="K337" s="160"/>
      <c r="L337" s="186">
        <v>733566.79</v>
      </c>
      <c r="M337" s="102"/>
      <c r="N337" s="102"/>
      <c r="O337" s="102"/>
      <c r="P337" s="102"/>
      <c r="Q337" s="102"/>
      <c r="R337" s="102"/>
      <c r="S337" s="102"/>
      <c r="T337" s="102"/>
      <c r="U337" s="102"/>
      <c r="V337" s="102"/>
      <c r="W337" s="102"/>
      <c r="X337" s="102"/>
      <c r="Y337" s="102"/>
      <c r="Z337" s="102"/>
      <c r="AA337" s="102"/>
      <c r="AB337" s="102"/>
      <c r="AC337" s="102"/>
      <c r="AD337" s="102"/>
      <c r="AE337" s="102"/>
      <c r="AF337" s="102"/>
    </row>
    <row r="339" spans="1:32" ht="31.5">
      <c r="A339" s="91" t="s">
        <v>746</v>
      </c>
      <c r="B339" s="91" t="s">
        <v>604</v>
      </c>
      <c r="C339" s="91" t="s">
        <v>747</v>
      </c>
      <c r="D339" s="91" t="s">
        <v>608</v>
      </c>
      <c r="E339" s="91" t="s">
        <v>748</v>
      </c>
      <c r="F339" s="91" t="s">
        <v>749</v>
      </c>
      <c r="G339" s="159" t="s">
        <v>750</v>
      </c>
      <c r="H339" s="159" t="s">
        <v>751</v>
      </c>
      <c r="I339" s="159" t="s">
        <v>752</v>
      </c>
      <c r="J339" s="159" t="s">
        <v>753</v>
      </c>
      <c r="K339" s="159" t="s">
        <v>754</v>
      </c>
      <c r="L339" s="91" t="s">
        <v>918</v>
      </c>
      <c r="M339" s="91" t="s">
        <v>2</v>
      </c>
      <c r="N339" s="91" t="s">
        <v>755</v>
      </c>
      <c r="O339" s="91" t="s">
        <v>605</v>
      </c>
      <c r="P339" s="91" t="s">
        <v>756</v>
      </c>
      <c r="Q339" s="91" t="s">
        <v>757</v>
      </c>
      <c r="R339" s="91" t="s">
        <v>758</v>
      </c>
      <c r="S339" s="91" t="s">
        <v>759</v>
      </c>
      <c r="T339" s="91" t="s">
        <v>760</v>
      </c>
      <c r="U339" s="91" t="s">
        <v>761</v>
      </c>
      <c r="V339" s="91" t="s">
        <v>762</v>
      </c>
      <c r="W339" s="91" t="s">
        <v>763</v>
      </c>
      <c r="X339" s="91" t="s">
        <v>764</v>
      </c>
      <c r="Y339" s="91" t="s">
        <v>765</v>
      </c>
      <c r="Z339" s="91" t="s">
        <v>766</v>
      </c>
      <c r="AA339" s="91" t="s">
        <v>767</v>
      </c>
      <c r="AB339" s="91" t="s">
        <v>919</v>
      </c>
      <c r="AC339" s="91" t="s">
        <v>920</v>
      </c>
      <c r="AD339" s="91" t="s">
        <v>921</v>
      </c>
      <c r="AE339" s="91" t="s">
        <v>946</v>
      </c>
    </row>
    <row r="340" spans="1:32" ht="12.75" customHeight="1">
      <c r="A340" s="92" t="s">
        <v>703</v>
      </c>
      <c r="B340" s="92" t="s">
        <v>53</v>
      </c>
      <c r="C340" s="92" t="s">
        <v>922</v>
      </c>
      <c r="D340" s="92"/>
      <c r="E340" s="204">
        <v>9934925</v>
      </c>
      <c r="F340" s="92" t="s">
        <v>768</v>
      </c>
      <c r="G340" s="263">
        <v>1406254</v>
      </c>
      <c r="H340" s="156" t="s">
        <v>769</v>
      </c>
      <c r="I340" s="263">
        <v>9</v>
      </c>
      <c r="J340" s="263">
        <v>21</v>
      </c>
      <c r="K340" s="265">
        <v>17509.349999999999</v>
      </c>
      <c r="L340" s="100">
        <v>44432</v>
      </c>
      <c r="M340" s="100">
        <v>44448</v>
      </c>
      <c r="N340" s="100">
        <v>44448</v>
      </c>
      <c r="O340" s="92" t="s">
        <v>2206</v>
      </c>
      <c r="P340" s="92" t="s">
        <v>2207</v>
      </c>
      <c r="Q340" s="92"/>
      <c r="R340" s="92"/>
      <c r="S340" s="92"/>
      <c r="T340" s="92" t="s">
        <v>2322</v>
      </c>
      <c r="U340" s="92" t="s">
        <v>2323</v>
      </c>
      <c r="V340" s="92" t="s">
        <v>606</v>
      </c>
      <c r="W340" s="92" t="s">
        <v>770</v>
      </c>
      <c r="X340" s="92" t="s">
        <v>1236</v>
      </c>
      <c r="Y340" s="92" t="s">
        <v>778</v>
      </c>
      <c r="Z340" s="92" t="s">
        <v>912</v>
      </c>
      <c r="AA340" s="92" t="s">
        <v>2209</v>
      </c>
      <c r="AB340" s="92"/>
      <c r="AC340" s="92"/>
      <c r="AD340" s="92"/>
      <c r="AE340" s="92" t="s">
        <v>2208</v>
      </c>
    </row>
    <row r="341" spans="1:32" ht="12.75" customHeight="1">
      <c r="A341" s="92" t="s">
        <v>703</v>
      </c>
      <c r="B341" s="92" t="s">
        <v>53</v>
      </c>
      <c r="C341" s="92" t="s">
        <v>922</v>
      </c>
      <c r="D341" s="92"/>
      <c r="E341" s="204">
        <v>9934934</v>
      </c>
      <c r="F341" s="92" t="s">
        <v>768</v>
      </c>
      <c r="G341" s="263">
        <v>1406262</v>
      </c>
      <c r="H341" s="156" t="s">
        <v>769</v>
      </c>
      <c r="I341" s="263">
        <v>9</v>
      </c>
      <c r="J341" s="263">
        <v>21</v>
      </c>
      <c r="K341" s="265">
        <v>6412</v>
      </c>
      <c r="L341" s="100">
        <v>44440</v>
      </c>
      <c r="M341" s="100">
        <v>44448</v>
      </c>
      <c r="N341" s="100">
        <v>44448</v>
      </c>
      <c r="O341" s="92" t="s">
        <v>2206</v>
      </c>
      <c r="P341" s="92" t="s">
        <v>2207</v>
      </c>
      <c r="Q341" s="92"/>
      <c r="R341" s="92"/>
      <c r="S341" s="92"/>
      <c r="T341" s="92" t="s">
        <v>2322</v>
      </c>
      <c r="U341" s="92" t="s">
        <v>2323</v>
      </c>
      <c r="V341" s="92" t="s">
        <v>606</v>
      </c>
      <c r="W341" s="92" t="s">
        <v>770</v>
      </c>
      <c r="X341" s="92" t="s">
        <v>1236</v>
      </c>
      <c r="Y341" s="92" t="s">
        <v>778</v>
      </c>
      <c r="Z341" s="92" t="s">
        <v>912</v>
      </c>
      <c r="AA341" s="92" t="s">
        <v>2209</v>
      </c>
      <c r="AB341" s="92"/>
      <c r="AC341" s="92"/>
      <c r="AD341" s="92"/>
      <c r="AE341" s="92" t="s">
        <v>2210</v>
      </c>
    </row>
    <row r="342" spans="1:32" ht="12.75" customHeight="1">
      <c r="A342" s="92" t="s">
        <v>703</v>
      </c>
      <c r="B342" s="92" t="s">
        <v>53</v>
      </c>
      <c r="C342" s="92" t="s">
        <v>922</v>
      </c>
      <c r="D342" s="92"/>
      <c r="E342" s="204">
        <v>9929351</v>
      </c>
      <c r="F342" s="92" t="s">
        <v>49</v>
      </c>
      <c r="G342" s="263">
        <v>18603702</v>
      </c>
      <c r="H342" s="156" t="s">
        <v>772</v>
      </c>
      <c r="I342" s="263">
        <v>9</v>
      </c>
      <c r="J342" s="263">
        <v>21</v>
      </c>
      <c r="K342" s="265">
        <v>-54800</v>
      </c>
      <c r="L342" s="100">
        <v>44469</v>
      </c>
      <c r="M342" s="100">
        <v>44469</v>
      </c>
      <c r="N342" s="100">
        <v>44434</v>
      </c>
      <c r="O342" s="92" t="s">
        <v>2211</v>
      </c>
      <c r="P342" s="92" t="s">
        <v>2212</v>
      </c>
      <c r="Q342" s="92"/>
      <c r="R342" s="92" t="s">
        <v>773</v>
      </c>
      <c r="S342" s="92"/>
      <c r="T342" s="92" t="s">
        <v>2324</v>
      </c>
      <c r="U342" s="92">
        <v>0</v>
      </c>
      <c r="V342" s="92" t="s">
        <v>606</v>
      </c>
      <c r="W342" s="92" t="s">
        <v>770</v>
      </c>
      <c r="X342" s="92" t="s">
        <v>2213</v>
      </c>
      <c r="Y342" s="92" t="s">
        <v>1891</v>
      </c>
      <c r="Z342" s="92" t="s">
        <v>912</v>
      </c>
      <c r="AA342" s="92" t="s">
        <v>1892</v>
      </c>
      <c r="AB342" s="92"/>
      <c r="AC342" s="92"/>
      <c r="AD342" s="92" t="s">
        <v>768</v>
      </c>
      <c r="AE342" s="92"/>
    </row>
    <row r="343" spans="1:32" ht="12.75" customHeight="1">
      <c r="A343" s="92" t="s">
        <v>703</v>
      </c>
      <c r="B343" s="92" t="s">
        <v>53</v>
      </c>
      <c r="C343" s="92" t="s">
        <v>922</v>
      </c>
      <c r="D343" s="92"/>
      <c r="E343" s="204">
        <v>9929351</v>
      </c>
      <c r="F343" s="92" t="s">
        <v>49</v>
      </c>
      <c r="G343" s="263">
        <v>18603702</v>
      </c>
      <c r="H343" s="156" t="s">
        <v>772</v>
      </c>
      <c r="I343" s="263">
        <v>9</v>
      </c>
      <c r="J343" s="263">
        <v>21</v>
      </c>
      <c r="K343" s="265">
        <v>54800</v>
      </c>
      <c r="L343" s="100">
        <v>44469</v>
      </c>
      <c r="M343" s="100">
        <v>44469</v>
      </c>
      <c r="N343" s="100">
        <v>44434</v>
      </c>
      <c r="O343" s="92" t="s">
        <v>2211</v>
      </c>
      <c r="P343" s="92" t="s">
        <v>2212</v>
      </c>
      <c r="Q343" s="92"/>
      <c r="R343" s="92" t="s">
        <v>773</v>
      </c>
      <c r="S343" s="92"/>
      <c r="T343" s="92" t="s">
        <v>2324</v>
      </c>
      <c r="U343" s="92">
        <v>0</v>
      </c>
      <c r="V343" s="92" t="s">
        <v>606</v>
      </c>
      <c r="W343" s="92" t="s">
        <v>770</v>
      </c>
      <c r="X343" s="92" t="s">
        <v>2213</v>
      </c>
      <c r="Y343" s="92" t="s">
        <v>1891</v>
      </c>
      <c r="Z343" s="92" t="s">
        <v>912</v>
      </c>
      <c r="AA343" s="92" t="s">
        <v>1892</v>
      </c>
      <c r="AB343" s="92"/>
      <c r="AC343" s="92"/>
      <c r="AD343" s="92" t="s">
        <v>768</v>
      </c>
      <c r="AE343" s="92"/>
    </row>
    <row r="344" spans="1:32" ht="12.75" customHeight="1">
      <c r="A344" s="92" t="s">
        <v>703</v>
      </c>
      <c r="B344" s="92" t="s">
        <v>53</v>
      </c>
      <c r="C344" s="92" t="s">
        <v>922</v>
      </c>
      <c r="D344" s="92"/>
      <c r="E344" s="204">
        <v>9929351</v>
      </c>
      <c r="F344" s="92" t="s">
        <v>49</v>
      </c>
      <c r="G344" s="263">
        <v>18603702</v>
      </c>
      <c r="H344" s="156" t="s">
        <v>772</v>
      </c>
      <c r="I344" s="263">
        <v>9</v>
      </c>
      <c r="J344" s="263">
        <v>21</v>
      </c>
      <c r="K344" s="265">
        <v>-70780</v>
      </c>
      <c r="L344" s="100">
        <v>44469</v>
      </c>
      <c r="M344" s="100">
        <v>44469</v>
      </c>
      <c r="N344" s="100">
        <v>44434</v>
      </c>
      <c r="O344" s="92" t="s">
        <v>2214</v>
      </c>
      <c r="P344" s="92" t="s">
        <v>2212</v>
      </c>
      <c r="Q344" s="92"/>
      <c r="R344" s="92" t="s">
        <v>773</v>
      </c>
      <c r="S344" s="92"/>
      <c r="T344" s="92" t="s">
        <v>2325</v>
      </c>
      <c r="U344" s="92">
        <v>0</v>
      </c>
      <c r="V344" s="92" t="s">
        <v>606</v>
      </c>
      <c r="W344" s="92" t="s">
        <v>770</v>
      </c>
      <c r="X344" s="92" t="s">
        <v>2213</v>
      </c>
      <c r="Y344" s="92" t="s">
        <v>1891</v>
      </c>
      <c r="Z344" s="92" t="s">
        <v>912</v>
      </c>
      <c r="AA344" s="92" t="s">
        <v>1895</v>
      </c>
      <c r="AB344" s="92"/>
      <c r="AC344" s="92"/>
      <c r="AD344" s="92" t="s">
        <v>768</v>
      </c>
      <c r="AE344" s="92"/>
    </row>
    <row r="345" spans="1:32" ht="12.75" customHeight="1">
      <c r="A345" s="92" t="s">
        <v>703</v>
      </c>
      <c r="B345" s="92" t="s">
        <v>53</v>
      </c>
      <c r="C345" s="92" t="s">
        <v>922</v>
      </c>
      <c r="D345" s="92"/>
      <c r="E345" s="204">
        <v>9929351</v>
      </c>
      <c r="F345" s="92" t="s">
        <v>49</v>
      </c>
      <c r="G345" s="263">
        <v>18603702</v>
      </c>
      <c r="H345" s="156" t="s">
        <v>772</v>
      </c>
      <c r="I345" s="263">
        <v>9</v>
      </c>
      <c r="J345" s="263">
        <v>21</v>
      </c>
      <c r="K345" s="265">
        <v>70780</v>
      </c>
      <c r="L345" s="100">
        <v>44469</v>
      </c>
      <c r="M345" s="100">
        <v>44469</v>
      </c>
      <c r="N345" s="100">
        <v>44434</v>
      </c>
      <c r="O345" s="92" t="s">
        <v>2214</v>
      </c>
      <c r="P345" s="92" t="s">
        <v>2212</v>
      </c>
      <c r="Q345" s="92"/>
      <c r="R345" s="92" t="s">
        <v>773</v>
      </c>
      <c r="S345" s="92"/>
      <c r="T345" s="92" t="s">
        <v>2325</v>
      </c>
      <c r="U345" s="92">
        <v>0</v>
      </c>
      <c r="V345" s="92" t="s">
        <v>606</v>
      </c>
      <c r="W345" s="92" t="s">
        <v>770</v>
      </c>
      <c r="X345" s="92" t="s">
        <v>2213</v>
      </c>
      <c r="Y345" s="92" t="s">
        <v>1891</v>
      </c>
      <c r="Z345" s="92" t="s">
        <v>912</v>
      </c>
      <c r="AA345" s="92" t="s">
        <v>1895</v>
      </c>
      <c r="AB345" s="92"/>
      <c r="AC345" s="92"/>
      <c r="AD345" s="92" t="s">
        <v>768</v>
      </c>
      <c r="AE345" s="92"/>
    </row>
    <row r="346" spans="1:32" ht="12.75" customHeight="1">
      <c r="A346" s="92" t="s">
        <v>703</v>
      </c>
      <c r="B346" s="92" t="s">
        <v>53</v>
      </c>
      <c r="C346" s="92" t="s">
        <v>922</v>
      </c>
      <c r="D346" s="92"/>
      <c r="E346" s="204">
        <v>9929356</v>
      </c>
      <c r="F346" s="92" t="s">
        <v>49</v>
      </c>
      <c r="G346" s="263">
        <v>18603704</v>
      </c>
      <c r="H346" s="156" t="s">
        <v>772</v>
      </c>
      <c r="I346" s="263">
        <v>9</v>
      </c>
      <c r="J346" s="263">
        <v>21</v>
      </c>
      <c r="K346" s="265">
        <v>54800</v>
      </c>
      <c r="L346" s="100">
        <v>44469</v>
      </c>
      <c r="M346" s="100">
        <v>44469</v>
      </c>
      <c r="N346" s="100">
        <v>44434</v>
      </c>
      <c r="O346" s="92" t="s">
        <v>1889</v>
      </c>
      <c r="P346" s="92" t="s">
        <v>2215</v>
      </c>
      <c r="Q346" s="92"/>
      <c r="R346" s="92" t="s">
        <v>773</v>
      </c>
      <c r="S346" s="92"/>
      <c r="T346" s="92" t="s">
        <v>2324</v>
      </c>
      <c r="U346" s="92">
        <v>0</v>
      </c>
      <c r="V346" s="92" t="s">
        <v>606</v>
      </c>
      <c r="W346" s="92" t="s">
        <v>770</v>
      </c>
      <c r="X346" s="92" t="s">
        <v>2213</v>
      </c>
      <c r="Y346" s="92" t="s">
        <v>1891</v>
      </c>
      <c r="Z346" s="92" t="s">
        <v>912</v>
      </c>
      <c r="AA346" s="92" t="s">
        <v>1892</v>
      </c>
      <c r="AB346" s="92"/>
      <c r="AC346" s="92"/>
      <c r="AD346" s="92" t="s">
        <v>768</v>
      </c>
      <c r="AE346" s="92"/>
    </row>
    <row r="347" spans="1:32" ht="12.75" customHeight="1">
      <c r="A347" s="92" t="s">
        <v>703</v>
      </c>
      <c r="B347" s="92" t="s">
        <v>53</v>
      </c>
      <c r="C347" s="92" t="s">
        <v>922</v>
      </c>
      <c r="D347" s="92"/>
      <c r="E347" s="204">
        <v>9929356</v>
      </c>
      <c r="F347" s="92" t="s">
        <v>49</v>
      </c>
      <c r="G347" s="263">
        <v>18603704</v>
      </c>
      <c r="H347" s="156" t="s">
        <v>772</v>
      </c>
      <c r="I347" s="263">
        <v>9</v>
      </c>
      <c r="J347" s="263">
        <v>21</v>
      </c>
      <c r="K347" s="265">
        <v>70780</v>
      </c>
      <c r="L347" s="100">
        <v>44469</v>
      </c>
      <c r="M347" s="100">
        <v>44469</v>
      </c>
      <c r="N347" s="100">
        <v>44434</v>
      </c>
      <c r="O347" s="92" t="s">
        <v>1893</v>
      </c>
      <c r="P347" s="92" t="s">
        <v>2215</v>
      </c>
      <c r="Q347" s="92"/>
      <c r="R347" s="92" t="s">
        <v>773</v>
      </c>
      <c r="S347" s="92"/>
      <c r="T347" s="92" t="s">
        <v>2325</v>
      </c>
      <c r="U347" s="92">
        <v>0</v>
      </c>
      <c r="V347" s="92" t="s">
        <v>606</v>
      </c>
      <c r="W347" s="92" t="s">
        <v>770</v>
      </c>
      <c r="X347" s="92" t="s">
        <v>2213</v>
      </c>
      <c r="Y347" s="92" t="s">
        <v>1891</v>
      </c>
      <c r="Z347" s="92" t="s">
        <v>912</v>
      </c>
      <c r="AA347" s="92" t="s">
        <v>1895</v>
      </c>
      <c r="AB347" s="92"/>
      <c r="AC347" s="92"/>
      <c r="AD347" s="92" t="s">
        <v>768</v>
      </c>
      <c r="AE347" s="92"/>
    </row>
    <row r="348" spans="1:32" ht="12.75" customHeight="1">
      <c r="A348" s="92" t="s">
        <v>703</v>
      </c>
      <c r="B348" s="92" t="s">
        <v>53</v>
      </c>
      <c r="C348" s="92" t="s">
        <v>922</v>
      </c>
      <c r="D348" s="92"/>
      <c r="E348" s="204">
        <v>9929356</v>
      </c>
      <c r="F348" s="92" t="s">
        <v>49</v>
      </c>
      <c r="G348" s="263">
        <v>18603704</v>
      </c>
      <c r="H348" s="156" t="s">
        <v>772</v>
      </c>
      <c r="I348" s="263">
        <v>9</v>
      </c>
      <c r="J348" s="263">
        <v>21</v>
      </c>
      <c r="K348" s="265">
        <v>-54800</v>
      </c>
      <c r="L348" s="100">
        <v>44469</v>
      </c>
      <c r="M348" s="100">
        <v>44469</v>
      </c>
      <c r="N348" s="100">
        <v>44434</v>
      </c>
      <c r="O348" s="92" t="s">
        <v>1889</v>
      </c>
      <c r="P348" s="92" t="s">
        <v>2215</v>
      </c>
      <c r="Q348" s="92"/>
      <c r="R348" s="92" t="s">
        <v>773</v>
      </c>
      <c r="S348" s="92"/>
      <c r="T348" s="92" t="s">
        <v>2324</v>
      </c>
      <c r="U348" s="92">
        <v>0</v>
      </c>
      <c r="V348" s="92" t="s">
        <v>606</v>
      </c>
      <c r="W348" s="92" t="s">
        <v>770</v>
      </c>
      <c r="X348" s="92" t="s">
        <v>2213</v>
      </c>
      <c r="Y348" s="92" t="s">
        <v>778</v>
      </c>
      <c r="Z348" s="92" t="s">
        <v>912</v>
      </c>
      <c r="AA348" s="92" t="s">
        <v>1892</v>
      </c>
      <c r="AB348" s="92"/>
      <c r="AC348" s="92"/>
      <c r="AD348" s="92" t="s">
        <v>768</v>
      </c>
      <c r="AE348" s="92"/>
    </row>
    <row r="349" spans="1:32" ht="12.75" customHeight="1">
      <c r="A349" s="92" t="s">
        <v>703</v>
      </c>
      <c r="B349" s="92" t="s">
        <v>53</v>
      </c>
      <c r="C349" s="92" t="s">
        <v>922</v>
      </c>
      <c r="D349" s="92"/>
      <c r="E349" s="204">
        <v>9929356</v>
      </c>
      <c r="F349" s="92" t="s">
        <v>49</v>
      </c>
      <c r="G349" s="263">
        <v>18603704</v>
      </c>
      <c r="H349" s="156" t="s">
        <v>772</v>
      </c>
      <c r="I349" s="263">
        <v>9</v>
      </c>
      <c r="J349" s="263">
        <v>21</v>
      </c>
      <c r="K349" s="265">
        <v>-70780</v>
      </c>
      <c r="L349" s="100">
        <v>44469</v>
      </c>
      <c r="M349" s="100">
        <v>44469</v>
      </c>
      <c r="N349" s="100">
        <v>44434</v>
      </c>
      <c r="O349" s="92" t="s">
        <v>1893</v>
      </c>
      <c r="P349" s="92" t="s">
        <v>2215</v>
      </c>
      <c r="Q349" s="92"/>
      <c r="R349" s="92" t="s">
        <v>773</v>
      </c>
      <c r="S349" s="92"/>
      <c r="T349" s="92" t="s">
        <v>2325</v>
      </c>
      <c r="U349" s="92">
        <v>0</v>
      </c>
      <c r="V349" s="92" t="s">
        <v>606</v>
      </c>
      <c r="W349" s="92" t="s">
        <v>770</v>
      </c>
      <c r="X349" s="92" t="s">
        <v>2213</v>
      </c>
      <c r="Y349" s="92" t="s">
        <v>778</v>
      </c>
      <c r="Z349" s="92" t="s">
        <v>912</v>
      </c>
      <c r="AA349" s="92" t="s">
        <v>1895</v>
      </c>
      <c r="AB349" s="92"/>
      <c r="AC349" s="92"/>
      <c r="AD349" s="92" t="s">
        <v>768</v>
      </c>
      <c r="AE349" s="92"/>
    </row>
    <row r="350" spans="1:32" ht="12.75" customHeight="1">
      <c r="A350" s="92" t="s">
        <v>703</v>
      </c>
      <c r="B350" s="92" t="s">
        <v>53</v>
      </c>
      <c r="C350" s="92" t="s">
        <v>922</v>
      </c>
      <c r="D350" s="92"/>
      <c r="E350" s="204">
        <v>9932873</v>
      </c>
      <c r="F350" s="92" t="s">
        <v>49</v>
      </c>
      <c r="G350" s="263">
        <v>18713688</v>
      </c>
      <c r="H350" s="156" t="s">
        <v>772</v>
      </c>
      <c r="I350" s="263">
        <v>9</v>
      </c>
      <c r="J350" s="263">
        <v>21</v>
      </c>
      <c r="K350" s="265">
        <v>-54800</v>
      </c>
      <c r="L350" s="100">
        <v>44469</v>
      </c>
      <c r="M350" s="100">
        <v>44469</v>
      </c>
      <c r="N350" s="100">
        <v>44441</v>
      </c>
      <c r="O350" s="92" t="s">
        <v>1221</v>
      </c>
      <c r="P350" s="92" t="s">
        <v>2216</v>
      </c>
      <c r="Q350" s="92"/>
      <c r="R350" s="92" t="s">
        <v>957</v>
      </c>
      <c r="S350" s="92"/>
      <c r="T350" s="92" t="s">
        <v>2324</v>
      </c>
      <c r="U350" s="92">
        <v>0</v>
      </c>
      <c r="V350" s="92" t="s">
        <v>606</v>
      </c>
      <c r="W350" s="92" t="s">
        <v>770</v>
      </c>
      <c r="X350" s="92" t="s">
        <v>1041</v>
      </c>
      <c r="Y350" s="92" t="s">
        <v>1891</v>
      </c>
      <c r="Z350" s="92" t="s">
        <v>912</v>
      </c>
      <c r="AA350" s="92" t="s">
        <v>1892</v>
      </c>
      <c r="AB350" s="92"/>
      <c r="AC350" s="92"/>
      <c r="AD350" s="92"/>
      <c r="AE350" s="92"/>
    </row>
    <row r="351" spans="1:32" ht="12.75" customHeight="1">
      <c r="A351" s="92" t="s">
        <v>703</v>
      </c>
      <c r="B351" s="92" t="s">
        <v>53</v>
      </c>
      <c r="C351" s="92" t="s">
        <v>922</v>
      </c>
      <c r="D351" s="92"/>
      <c r="E351" s="204">
        <v>9932873</v>
      </c>
      <c r="F351" s="92" t="s">
        <v>49</v>
      </c>
      <c r="G351" s="263">
        <v>18713688</v>
      </c>
      <c r="H351" s="156" t="s">
        <v>772</v>
      </c>
      <c r="I351" s="263">
        <v>9</v>
      </c>
      <c r="J351" s="263">
        <v>21</v>
      </c>
      <c r="K351" s="265">
        <v>-70780</v>
      </c>
      <c r="L351" s="100">
        <v>44469</v>
      </c>
      <c r="M351" s="100">
        <v>44469</v>
      </c>
      <c r="N351" s="100">
        <v>44441</v>
      </c>
      <c r="O351" s="92" t="s">
        <v>1225</v>
      </c>
      <c r="P351" s="92" t="s">
        <v>2216</v>
      </c>
      <c r="Q351" s="92"/>
      <c r="R351" s="92" t="s">
        <v>957</v>
      </c>
      <c r="S351" s="92"/>
      <c r="T351" s="92" t="s">
        <v>2325</v>
      </c>
      <c r="U351" s="92">
        <v>0</v>
      </c>
      <c r="V351" s="92" t="s">
        <v>606</v>
      </c>
      <c r="W351" s="92" t="s">
        <v>770</v>
      </c>
      <c r="X351" s="92" t="s">
        <v>1041</v>
      </c>
      <c r="Y351" s="92" t="s">
        <v>1891</v>
      </c>
      <c r="Z351" s="92" t="s">
        <v>912</v>
      </c>
      <c r="AA351" s="92" t="s">
        <v>1895</v>
      </c>
      <c r="AB351" s="92"/>
      <c r="AC351" s="92"/>
      <c r="AD351" s="92"/>
      <c r="AE351" s="92"/>
    </row>
    <row r="352" spans="1:32" ht="12.75" customHeight="1">
      <c r="A352" s="92" t="s">
        <v>703</v>
      </c>
      <c r="B352" s="92" t="s">
        <v>53</v>
      </c>
      <c r="C352" s="92" t="s">
        <v>922</v>
      </c>
      <c r="D352" s="92"/>
      <c r="E352" s="204">
        <v>9932913</v>
      </c>
      <c r="F352" s="92" t="s">
        <v>49</v>
      </c>
      <c r="G352" s="263">
        <v>18713697</v>
      </c>
      <c r="H352" s="156" t="s">
        <v>772</v>
      </c>
      <c r="I352" s="263">
        <v>9</v>
      </c>
      <c r="J352" s="263">
        <v>21</v>
      </c>
      <c r="K352" s="265">
        <v>54800</v>
      </c>
      <c r="L352" s="100">
        <v>44469</v>
      </c>
      <c r="M352" s="100">
        <v>44469</v>
      </c>
      <c r="N352" s="100">
        <v>44441</v>
      </c>
      <c r="O352" s="92" t="s">
        <v>1221</v>
      </c>
      <c r="P352" s="92" t="s">
        <v>2217</v>
      </c>
      <c r="Q352" s="92"/>
      <c r="R352" s="92" t="s">
        <v>957</v>
      </c>
      <c r="S352" s="92"/>
      <c r="T352" s="92" t="s">
        <v>2324</v>
      </c>
      <c r="U352" s="92">
        <v>0</v>
      </c>
      <c r="V352" s="92" t="s">
        <v>606</v>
      </c>
      <c r="W352" s="92" t="s">
        <v>770</v>
      </c>
      <c r="X352" s="92" t="s">
        <v>1041</v>
      </c>
      <c r="Y352" s="92" t="s">
        <v>778</v>
      </c>
      <c r="Z352" s="92" t="s">
        <v>912</v>
      </c>
      <c r="AA352" s="92" t="s">
        <v>1892</v>
      </c>
      <c r="AB352" s="92"/>
      <c r="AC352" s="92"/>
      <c r="AD352" s="92"/>
      <c r="AE352" s="92"/>
    </row>
    <row r="353" spans="1:31" ht="12.75" customHeight="1">
      <c r="A353" s="92" t="s">
        <v>703</v>
      </c>
      <c r="B353" s="92" t="s">
        <v>53</v>
      </c>
      <c r="C353" s="92" t="s">
        <v>922</v>
      </c>
      <c r="D353" s="92"/>
      <c r="E353" s="204">
        <v>9932913</v>
      </c>
      <c r="F353" s="92" t="s">
        <v>49</v>
      </c>
      <c r="G353" s="263">
        <v>18713697</v>
      </c>
      <c r="H353" s="156" t="s">
        <v>772</v>
      </c>
      <c r="I353" s="263">
        <v>9</v>
      </c>
      <c r="J353" s="263">
        <v>21</v>
      </c>
      <c r="K353" s="265">
        <v>70780</v>
      </c>
      <c r="L353" s="100">
        <v>44469</v>
      </c>
      <c r="M353" s="100">
        <v>44469</v>
      </c>
      <c r="N353" s="100">
        <v>44441</v>
      </c>
      <c r="O353" s="92" t="s">
        <v>1225</v>
      </c>
      <c r="P353" s="92" t="s">
        <v>2217</v>
      </c>
      <c r="Q353" s="92"/>
      <c r="R353" s="92" t="s">
        <v>957</v>
      </c>
      <c r="S353" s="92"/>
      <c r="T353" s="92" t="s">
        <v>2325</v>
      </c>
      <c r="U353" s="92">
        <v>0</v>
      </c>
      <c r="V353" s="92" t="s">
        <v>606</v>
      </c>
      <c r="W353" s="92" t="s">
        <v>770</v>
      </c>
      <c r="X353" s="92" t="s">
        <v>1041</v>
      </c>
      <c r="Y353" s="92" t="s">
        <v>778</v>
      </c>
      <c r="Z353" s="92" t="s">
        <v>912</v>
      </c>
      <c r="AA353" s="92" t="s">
        <v>1895</v>
      </c>
      <c r="AB353" s="92"/>
      <c r="AC353" s="92"/>
      <c r="AD353" s="92"/>
      <c r="AE353" s="92"/>
    </row>
    <row r="354" spans="1:31" ht="12.75" customHeight="1">
      <c r="A354" s="92" t="s">
        <v>703</v>
      </c>
      <c r="B354" s="92" t="s">
        <v>53</v>
      </c>
      <c r="C354" s="92" t="s">
        <v>922</v>
      </c>
      <c r="D354" s="92"/>
      <c r="E354" s="204">
        <v>9934054</v>
      </c>
      <c r="F354" s="92" t="s">
        <v>49</v>
      </c>
      <c r="G354" s="263">
        <v>18714197</v>
      </c>
      <c r="H354" s="156" t="s">
        <v>772</v>
      </c>
      <c r="I354" s="263">
        <v>9</v>
      </c>
      <c r="J354" s="263">
        <v>21</v>
      </c>
      <c r="K354" s="265">
        <v>-17509.349999999999</v>
      </c>
      <c r="L354" s="100">
        <v>44469</v>
      </c>
      <c r="M354" s="100">
        <v>44469</v>
      </c>
      <c r="N354" s="100">
        <v>44446</v>
      </c>
      <c r="O354" s="92" t="s">
        <v>2218</v>
      </c>
      <c r="P354" s="92" t="s">
        <v>2219</v>
      </c>
      <c r="Q354" s="92"/>
      <c r="R354" s="92"/>
      <c r="S354" s="92"/>
      <c r="T354" s="92" t="s">
        <v>2322</v>
      </c>
      <c r="U354" s="92">
        <v>0</v>
      </c>
      <c r="V354" s="92" t="s">
        <v>606</v>
      </c>
      <c r="W354" s="92" t="s">
        <v>770</v>
      </c>
      <c r="X354" s="92" t="s">
        <v>2213</v>
      </c>
      <c r="Y354" s="92" t="s">
        <v>778</v>
      </c>
      <c r="Z354" s="92" t="s">
        <v>912</v>
      </c>
      <c r="AA354" s="92" t="s">
        <v>2209</v>
      </c>
      <c r="AB354" s="92"/>
      <c r="AC354" s="92"/>
      <c r="AD354" s="92"/>
      <c r="AE354" s="92"/>
    </row>
    <row r="355" spans="1:31" ht="12.75" customHeight="1">
      <c r="A355" s="92" t="s">
        <v>703</v>
      </c>
      <c r="B355" s="92" t="s">
        <v>53</v>
      </c>
      <c r="C355" s="92" t="s">
        <v>922</v>
      </c>
      <c r="D355" s="92"/>
      <c r="E355" s="204">
        <v>9934054</v>
      </c>
      <c r="F355" s="92" t="s">
        <v>49</v>
      </c>
      <c r="G355" s="263">
        <v>18714197</v>
      </c>
      <c r="H355" s="156" t="s">
        <v>772</v>
      </c>
      <c r="I355" s="263">
        <v>9</v>
      </c>
      <c r="J355" s="263">
        <v>21</v>
      </c>
      <c r="K355" s="265">
        <v>-170660</v>
      </c>
      <c r="L355" s="100">
        <v>44469</v>
      </c>
      <c r="M355" s="100">
        <v>44469</v>
      </c>
      <c r="N355" s="100">
        <v>44446</v>
      </c>
      <c r="O355" s="92" t="s">
        <v>2220</v>
      </c>
      <c r="P355" s="92" t="s">
        <v>2219</v>
      </c>
      <c r="Q355" s="92"/>
      <c r="R355" s="92"/>
      <c r="S355" s="92"/>
      <c r="T355" s="92" t="s">
        <v>2326</v>
      </c>
      <c r="U355" s="92">
        <v>0</v>
      </c>
      <c r="V355" s="92" t="s">
        <v>606</v>
      </c>
      <c r="W355" s="92" t="s">
        <v>770</v>
      </c>
      <c r="X355" s="92" t="s">
        <v>2213</v>
      </c>
      <c r="Y355" s="92" t="s">
        <v>778</v>
      </c>
      <c r="Z355" s="92" t="s">
        <v>912</v>
      </c>
      <c r="AA355" s="92" t="s">
        <v>2221</v>
      </c>
      <c r="AB355" s="92"/>
      <c r="AC355" s="92"/>
      <c r="AD355" s="92"/>
      <c r="AE355" s="92"/>
    </row>
    <row r="356" spans="1:31" ht="12.75" customHeight="1">
      <c r="A356" s="92" t="s">
        <v>703</v>
      </c>
      <c r="B356" s="92" t="s">
        <v>58</v>
      </c>
      <c r="C356" s="92" t="s">
        <v>922</v>
      </c>
      <c r="D356" s="92"/>
      <c r="E356" s="204">
        <v>9934967</v>
      </c>
      <c r="F356" s="92" t="s">
        <v>768</v>
      </c>
      <c r="G356" s="263">
        <v>1406295</v>
      </c>
      <c r="H356" s="156" t="s">
        <v>769</v>
      </c>
      <c r="I356" s="263">
        <v>9</v>
      </c>
      <c r="J356" s="263">
        <v>21</v>
      </c>
      <c r="K356" s="265">
        <v>462857.16</v>
      </c>
      <c r="L356" s="100">
        <v>44432</v>
      </c>
      <c r="M356" s="100">
        <v>44448</v>
      </c>
      <c r="N356" s="100">
        <v>44448</v>
      </c>
      <c r="O356" s="92" t="s">
        <v>1447</v>
      </c>
      <c r="P356" s="92" t="s">
        <v>1448</v>
      </c>
      <c r="Q356" s="92"/>
      <c r="R356" s="92"/>
      <c r="S356" s="92"/>
      <c r="T356" s="92" t="s">
        <v>2327</v>
      </c>
      <c r="U356" s="92" t="s">
        <v>2328</v>
      </c>
      <c r="V356" s="92" t="s">
        <v>606</v>
      </c>
      <c r="W356" s="92" t="s">
        <v>770</v>
      </c>
      <c r="X356" s="92" t="s">
        <v>1236</v>
      </c>
      <c r="Y356" s="92" t="s">
        <v>778</v>
      </c>
      <c r="Z356" s="92" t="s">
        <v>929</v>
      </c>
      <c r="AA356" s="92" t="s">
        <v>1452</v>
      </c>
      <c r="AB356" s="92"/>
      <c r="AC356" s="92"/>
      <c r="AD356" s="92"/>
      <c r="AE356" s="92" t="s">
        <v>2222</v>
      </c>
    </row>
    <row r="357" spans="1:31" ht="12.75" customHeight="1">
      <c r="A357" s="92" t="s">
        <v>703</v>
      </c>
      <c r="B357" s="92" t="s">
        <v>58</v>
      </c>
      <c r="C357" s="92" t="s">
        <v>922</v>
      </c>
      <c r="D357" s="92"/>
      <c r="E357" s="204">
        <v>9934033</v>
      </c>
      <c r="F357" s="92" t="s">
        <v>49</v>
      </c>
      <c r="G357" s="263">
        <v>18714186</v>
      </c>
      <c r="H357" s="156" t="s">
        <v>772</v>
      </c>
      <c r="I357" s="263">
        <v>9</v>
      </c>
      <c r="J357" s="263">
        <v>21</v>
      </c>
      <c r="K357" s="265">
        <v>-462857.14</v>
      </c>
      <c r="L357" s="100">
        <v>44469</v>
      </c>
      <c r="M357" s="100">
        <v>44469</v>
      </c>
      <c r="N357" s="100">
        <v>44446</v>
      </c>
      <c r="O357" s="92" t="s">
        <v>2223</v>
      </c>
      <c r="P357" s="92" t="s">
        <v>2224</v>
      </c>
      <c r="Q357" s="92"/>
      <c r="R357" s="92"/>
      <c r="S357" s="92"/>
      <c r="T357" s="92" t="s">
        <v>2327</v>
      </c>
      <c r="U357" s="92">
        <v>0</v>
      </c>
      <c r="V357" s="92" t="s">
        <v>606</v>
      </c>
      <c r="W357" s="92" t="s">
        <v>770</v>
      </c>
      <c r="X357" s="92" t="s">
        <v>2213</v>
      </c>
      <c r="Y357" s="92" t="s">
        <v>1891</v>
      </c>
      <c r="Z357" s="92" t="s">
        <v>929</v>
      </c>
      <c r="AA357" s="92" t="s">
        <v>1452</v>
      </c>
      <c r="AB357" s="92"/>
      <c r="AC357" s="92"/>
      <c r="AD357" s="92"/>
      <c r="AE357" s="92"/>
    </row>
    <row r="358" spans="1:31" ht="12.75" customHeight="1">
      <c r="A358" s="92" t="s">
        <v>703</v>
      </c>
      <c r="B358" s="92" t="s">
        <v>58</v>
      </c>
      <c r="C358" s="92" t="s">
        <v>922</v>
      </c>
      <c r="D358" s="92"/>
      <c r="E358" s="204">
        <v>9934033</v>
      </c>
      <c r="F358" s="92" t="s">
        <v>49</v>
      </c>
      <c r="G358" s="263">
        <v>18714186</v>
      </c>
      <c r="H358" s="156" t="s">
        <v>772</v>
      </c>
      <c r="I358" s="263">
        <v>9</v>
      </c>
      <c r="J358" s="263">
        <v>21</v>
      </c>
      <c r="K358" s="265">
        <v>-238000</v>
      </c>
      <c r="L358" s="100">
        <v>44469</v>
      </c>
      <c r="M358" s="100">
        <v>44469</v>
      </c>
      <c r="N358" s="100">
        <v>44446</v>
      </c>
      <c r="O358" s="92" t="s">
        <v>2225</v>
      </c>
      <c r="P358" s="92" t="s">
        <v>2224</v>
      </c>
      <c r="Q358" s="92"/>
      <c r="R358" s="92"/>
      <c r="S358" s="92"/>
      <c r="T358" s="92" t="s">
        <v>2329</v>
      </c>
      <c r="U358" s="92">
        <v>0</v>
      </c>
      <c r="V358" s="92" t="s">
        <v>606</v>
      </c>
      <c r="W358" s="92" t="s">
        <v>770</v>
      </c>
      <c r="X358" s="92" t="s">
        <v>2213</v>
      </c>
      <c r="Y358" s="92" t="s">
        <v>1891</v>
      </c>
      <c r="Z358" s="92" t="s">
        <v>929</v>
      </c>
      <c r="AA358" s="92" t="s">
        <v>2226</v>
      </c>
      <c r="AB358" s="92"/>
      <c r="AC358" s="92"/>
      <c r="AD358" s="92"/>
      <c r="AE358" s="92"/>
    </row>
    <row r="359" spans="1:31" ht="12.75" customHeight="1">
      <c r="A359" s="92" t="s">
        <v>703</v>
      </c>
      <c r="B359" s="92" t="s">
        <v>58</v>
      </c>
      <c r="C359" s="92" t="s">
        <v>922</v>
      </c>
      <c r="D359" s="92"/>
      <c r="E359" s="204">
        <v>9934033</v>
      </c>
      <c r="F359" s="92" t="s">
        <v>49</v>
      </c>
      <c r="G359" s="263">
        <v>18714186</v>
      </c>
      <c r="H359" s="156" t="s">
        <v>772</v>
      </c>
      <c r="I359" s="263">
        <v>9</v>
      </c>
      <c r="J359" s="263">
        <v>21</v>
      </c>
      <c r="K359" s="265">
        <v>-282800</v>
      </c>
      <c r="L359" s="100">
        <v>44469</v>
      </c>
      <c r="M359" s="100">
        <v>44469</v>
      </c>
      <c r="N359" s="100">
        <v>44446</v>
      </c>
      <c r="O359" s="92" t="s">
        <v>2227</v>
      </c>
      <c r="P359" s="92" t="s">
        <v>2224</v>
      </c>
      <c r="Q359" s="92"/>
      <c r="R359" s="92"/>
      <c r="S359" s="92"/>
      <c r="T359" s="92" t="s">
        <v>2330</v>
      </c>
      <c r="U359" s="92">
        <v>0</v>
      </c>
      <c r="V359" s="92" t="s">
        <v>606</v>
      </c>
      <c r="W359" s="92" t="s">
        <v>770</v>
      </c>
      <c r="X359" s="92" t="s">
        <v>2213</v>
      </c>
      <c r="Y359" s="92" t="s">
        <v>1891</v>
      </c>
      <c r="Z359" s="92" t="s">
        <v>929</v>
      </c>
      <c r="AA359" s="92" t="s">
        <v>2228</v>
      </c>
      <c r="AB359" s="92"/>
      <c r="AC359" s="92"/>
      <c r="AD359" s="92"/>
      <c r="AE359" s="92"/>
    </row>
    <row r="360" spans="1:31" ht="12.75" customHeight="1">
      <c r="A360" s="92" t="s">
        <v>703</v>
      </c>
      <c r="B360" s="92" t="s">
        <v>58</v>
      </c>
      <c r="C360" s="92" t="s">
        <v>922</v>
      </c>
      <c r="D360" s="92"/>
      <c r="E360" s="204">
        <v>9934033</v>
      </c>
      <c r="F360" s="92" t="s">
        <v>49</v>
      </c>
      <c r="G360" s="263">
        <v>18714186</v>
      </c>
      <c r="H360" s="156" t="s">
        <v>772</v>
      </c>
      <c r="I360" s="263">
        <v>9</v>
      </c>
      <c r="J360" s="263">
        <v>21</v>
      </c>
      <c r="K360" s="265">
        <v>-508940</v>
      </c>
      <c r="L360" s="100">
        <v>44469</v>
      </c>
      <c r="M360" s="100">
        <v>44469</v>
      </c>
      <c r="N360" s="100">
        <v>44446</v>
      </c>
      <c r="O360" s="92" t="s">
        <v>2229</v>
      </c>
      <c r="P360" s="92" t="s">
        <v>2224</v>
      </c>
      <c r="Q360" s="92"/>
      <c r="R360" s="92"/>
      <c r="S360" s="92"/>
      <c r="T360" s="92" t="s">
        <v>2331</v>
      </c>
      <c r="U360" s="92">
        <v>0</v>
      </c>
      <c r="V360" s="92" t="s">
        <v>606</v>
      </c>
      <c r="W360" s="92" t="s">
        <v>770</v>
      </c>
      <c r="X360" s="92" t="s">
        <v>2213</v>
      </c>
      <c r="Y360" s="92" t="s">
        <v>1891</v>
      </c>
      <c r="Z360" s="92" t="s">
        <v>929</v>
      </c>
      <c r="AA360" s="92" t="s">
        <v>2230</v>
      </c>
      <c r="AB360" s="92"/>
      <c r="AC360" s="92"/>
      <c r="AD360" s="92"/>
      <c r="AE360" s="92"/>
    </row>
    <row r="361" spans="1:31" ht="12.75" customHeight="1">
      <c r="A361" s="92" t="s">
        <v>703</v>
      </c>
      <c r="B361" s="92" t="s">
        <v>58</v>
      </c>
      <c r="C361" s="92" t="s">
        <v>922</v>
      </c>
      <c r="D361" s="92"/>
      <c r="E361" s="204">
        <v>9937218</v>
      </c>
      <c r="F361" s="92" t="s">
        <v>49</v>
      </c>
      <c r="G361" s="263">
        <v>18714349</v>
      </c>
      <c r="H361" s="156" t="s">
        <v>772</v>
      </c>
      <c r="I361" s="263">
        <v>9</v>
      </c>
      <c r="J361" s="263">
        <v>21</v>
      </c>
      <c r="K361" s="265">
        <v>-200000</v>
      </c>
      <c r="L361" s="100">
        <v>44469</v>
      </c>
      <c r="M361" s="100">
        <v>44469</v>
      </c>
      <c r="N361" s="100">
        <v>44452</v>
      </c>
      <c r="O361" s="92" t="s">
        <v>2231</v>
      </c>
      <c r="P361" s="92" t="s">
        <v>2232</v>
      </c>
      <c r="Q361" s="92"/>
      <c r="R361" s="92"/>
      <c r="S361" s="92"/>
      <c r="T361" s="92" t="s">
        <v>2327</v>
      </c>
      <c r="U361" s="92">
        <v>0</v>
      </c>
      <c r="V361" s="92" t="s">
        <v>606</v>
      </c>
      <c r="W361" s="92" t="s">
        <v>770</v>
      </c>
      <c r="X361" s="92" t="s">
        <v>2213</v>
      </c>
      <c r="Y361" s="92" t="s">
        <v>1891</v>
      </c>
      <c r="Z361" s="92" t="s">
        <v>929</v>
      </c>
      <c r="AA361" s="92" t="s">
        <v>1452</v>
      </c>
      <c r="AB361" s="92"/>
      <c r="AC361" s="92"/>
      <c r="AD361" s="92"/>
      <c r="AE361" s="92"/>
    </row>
    <row r="362" spans="1:31" ht="12.75" customHeight="1">
      <c r="A362" s="92" t="s">
        <v>703</v>
      </c>
      <c r="B362" s="92" t="s">
        <v>58</v>
      </c>
      <c r="C362" s="92" t="s">
        <v>922</v>
      </c>
      <c r="D362" s="92"/>
      <c r="E362" s="204">
        <v>9937218</v>
      </c>
      <c r="F362" s="92" t="s">
        <v>49</v>
      </c>
      <c r="G362" s="263">
        <v>18714349</v>
      </c>
      <c r="H362" s="156" t="s">
        <v>772</v>
      </c>
      <c r="I362" s="263">
        <v>9</v>
      </c>
      <c r="J362" s="263">
        <v>21</v>
      </c>
      <c r="K362" s="265">
        <v>-126080.58</v>
      </c>
      <c r="L362" s="100">
        <v>44469</v>
      </c>
      <c r="M362" s="100">
        <v>44469</v>
      </c>
      <c r="N362" s="100">
        <v>44452</v>
      </c>
      <c r="O362" s="92" t="s">
        <v>2233</v>
      </c>
      <c r="P362" s="92" t="s">
        <v>2232</v>
      </c>
      <c r="Q362" s="92"/>
      <c r="R362" s="92"/>
      <c r="S362" s="92"/>
      <c r="T362" s="92" t="s">
        <v>2332</v>
      </c>
      <c r="U362" s="92">
        <v>0</v>
      </c>
      <c r="V362" s="92" t="s">
        <v>606</v>
      </c>
      <c r="W362" s="92" t="s">
        <v>770</v>
      </c>
      <c r="X362" s="92" t="s">
        <v>2213</v>
      </c>
      <c r="Y362" s="92" t="s">
        <v>1891</v>
      </c>
      <c r="Z362" s="92" t="s">
        <v>929</v>
      </c>
      <c r="AA362" s="92" t="s">
        <v>1458</v>
      </c>
      <c r="AB362" s="92"/>
      <c r="AC362" s="92"/>
      <c r="AD362" s="92"/>
      <c r="AE362" s="92"/>
    </row>
    <row r="363" spans="1:31" ht="12.75" customHeight="1">
      <c r="A363" s="92" t="s">
        <v>703</v>
      </c>
      <c r="B363" s="92" t="s">
        <v>930</v>
      </c>
      <c r="C363" s="92" t="s">
        <v>922</v>
      </c>
      <c r="D363" s="92"/>
      <c r="E363" s="204">
        <v>9934033</v>
      </c>
      <c r="F363" s="92" t="s">
        <v>49</v>
      </c>
      <c r="G363" s="263">
        <v>18714186</v>
      </c>
      <c r="H363" s="156" t="s">
        <v>772</v>
      </c>
      <c r="I363" s="263">
        <v>9</v>
      </c>
      <c r="J363" s="263">
        <v>21</v>
      </c>
      <c r="K363" s="265">
        <v>-113600</v>
      </c>
      <c r="L363" s="100">
        <v>44469</v>
      </c>
      <c r="M363" s="100">
        <v>44469</v>
      </c>
      <c r="N363" s="100">
        <v>44446</v>
      </c>
      <c r="O363" s="92" t="s">
        <v>2234</v>
      </c>
      <c r="P363" s="92" t="s">
        <v>2224</v>
      </c>
      <c r="Q363" s="92"/>
      <c r="R363" s="92"/>
      <c r="S363" s="92"/>
      <c r="T363" s="92" t="s">
        <v>2333</v>
      </c>
      <c r="U363" s="92">
        <v>0</v>
      </c>
      <c r="V363" s="92" t="s">
        <v>606</v>
      </c>
      <c r="W363" s="92" t="s">
        <v>770</v>
      </c>
      <c r="X363" s="92" t="s">
        <v>2213</v>
      </c>
      <c r="Y363" s="92" t="s">
        <v>1891</v>
      </c>
      <c r="Z363" s="92" t="s">
        <v>931</v>
      </c>
      <c r="AA363" s="92" t="s">
        <v>2235</v>
      </c>
      <c r="AB363" s="92"/>
      <c r="AC363" s="92"/>
      <c r="AD363" s="92"/>
      <c r="AE363" s="92"/>
    </row>
    <row r="364" spans="1:31" ht="12.75" customHeight="1">
      <c r="A364" s="92" t="s">
        <v>703</v>
      </c>
      <c r="B364" s="92" t="s">
        <v>61</v>
      </c>
      <c r="C364" s="92" t="s">
        <v>922</v>
      </c>
      <c r="D364" s="92"/>
      <c r="E364" s="204">
        <v>9929102</v>
      </c>
      <c r="F364" s="92" t="s">
        <v>49</v>
      </c>
      <c r="G364" s="263">
        <v>18603552</v>
      </c>
      <c r="H364" s="156" t="s">
        <v>772</v>
      </c>
      <c r="I364" s="263">
        <v>9</v>
      </c>
      <c r="J364" s="263">
        <v>21</v>
      </c>
      <c r="K364" s="265">
        <v>-58000</v>
      </c>
      <c r="L364" s="100">
        <v>44469</v>
      </c>
      <c r="M364" s="100">
        <v>44469</v>
      </c>
      <c r="N364" s="100">
        <v>44434</v>
      </c>
      <c r="O364" s="92"/>
      <c r="P364" s="92" t="s">
        <v>2236</v>
      </c>
      <c r="Q364" s="92"/>
      <c r="R364" s="92"/>
      <c r="S364" s="92"/>
      <c r="T364" s="92" t="s">
        <v>2334</v>
      </c>
      <c r="U364" s="92">
        <v>0</v>
      </c>
      <c r="V364" s="92" t="s">
        <v>606</v>
      </c>
      <c r="W364" s="92" t="s">
        <v>770</v>
      </c>
      <c r="X364" s="92" t="s">
        <v>1772</v>
      </c>
      <c r="Y364" s="92" t="s">
        <v>778</v>
      </c>
      <c r="Z364" s="92" t="s">
        <v>933</v>
      </c>
      <c r="AA364" s="92" t="s">
        <v>2237</v>
      </c>
      <c r="AB364" s="92"/>
      <c r="AC364" s="92"/>
      <c r="AD364" s="92"/>
      <c r="AE364" s="92"/>
    </row>
    <row r="365" spans="1:31" ht="12.75" customHeight="1">
      <c r="A365" s="92" t="s">
        <v>703</v>
      </c>
      <c r="B365" s="92" t="s">
        <v>64</v>
      </c>
      <c r="C365" s="92" t="s">
        <v>922</v>
      </c>
      <c r="D365" s="92"/>
      <c r="E365" s="204">
        <v>9935061</v>
      </c>
      <c r="F365" s="92" t="s">
        <v>768</v>
      </c>
      <c r="G365" s="263">
        <v>1406389</v>
      </c>
      <c r="H365" s="156" t="s">
        <v>769</v>
      </c>
      <c r="I365" s="263">
        <v>9</v>
      </c>
      <c r="J365" s="263">
        <v>21</v>
      </c>
      <c r="K365" s="265">
        <v>20000</v>
      </c>
      <c r="L365" s="100">
        <v>44418</v>
      </c>
      <c r="M365" s="100">
        <v>44448</v>
      </c>
      <c r="N365" s="100">
        <v>44448</v>
      </c>
      <c r="O365" s="92" t="s">
        <v>2238</v>
      </c>
      <c r="P365" s="92" t="s">
        <v>1731</v>
      </c>
      <c r="Q365" s="92"/>
      <c r="R365" s="92"/>
      <c r="S365" s="92"/>
      <c r="T365" s="92" t="s">
        <v>2335</v>
      </c>
      <c r="U365" s="92" t="s">
        <v>2336</v>
      </c>
      <c r="V365" s="92" t="s">
        <v>606</v>
      </c>
      <c r="W365" s="92" t="s">
        <v>770</v>
      </c>
      <c r="X365" s="92" t="s">
        <v>1236</v>
      </c>
      <c r="Y365" s="92" t="s">
        <v>778</v>
      </c>
      <c r="Z365" s="92" t="s">
        <v>785</v>
      </c>
      <c r="AA365" s="92" t="s">
        <v>1618</v>
      </c>
      <c r="AB365" s="92"/>
      <c r="AC365" s="92"/>
      <c r="AD365" s="92"/>
      <c r="AE365" s="92" t="s">
        <v>2239</v>
      </c>
    </row>
    <row r="366" spans="1:31" ht="12.75" customHeight="1">
      <c r="A366" s="92" t="s">
        <v>703</v>
      </c>
      <c r="B366" s="92" t="s">
        <v>64</v>
      </c>
      <c r="C366" s="92" t="s">
        <v>922</v>
      </c>
      <c r="D366" s="92"/>
      <c r="E366" s="204">
        <v>9935292</v>
      </c>
      <c r="F366" s="92" t="s">
        <v>768</v>
      </c>
      <c r="G366" s="263">
        <v>1406615</v>
      </c>
      <c r="H366" s="156" t="s">
        <v>769</v>
      </c>
      <c r="I366" s="263">
        <v>9</v>
      </c>
      <c r="J366" s="263">
        <v>21</v>
      </c>
      <c r="K366" s="265">
        <v>216155</v>
      </c>
      <c r="L366" s="100">
        <v>44439</v>
      </c>
      <c r="M366" s="100">
        <v>44448</v>
      </c>
      <c r="N366" s="100">
        <v>44448</v>
      </c>
      <c r="O366" s="92" t="s">
        <v>2240</v>
      </c>
      <c r="P366" s="92" t="s">
        <v>2241</v>
      </c>
      <c r="Q366" s="92"/>
      <c r="R366" s="92"/>
      <c r="S366" s="92"/>
      <c r="T366" s="92" t="s">
        <v>2337</v>
      </c>
      <c r="U366" s="92" t="s">
        <v>2338</v>
      </c>
      <c r="V366" s="92" t="s">
        <v>606</v>
      </c>
      <c r="W366" s="92" t="s">
        <v>770</v>
      </c>
      <c r="X366" s="92" t="s">
        <v>1236</v>
      </c>
      <c r="Y366" s="92" t="s">
        <v>778</v>
      </c>
      <c r="Z366" s="92" t="s">
        <v>785</v>
      </c>
      <c r="AA366" s="92" t="s">
        <v>2128</v>
      </c>
      <c r="AB366" s="92"/>
      <c r="AC366" s="92"/>
      <c r="AD366" s="92"/>
      <c r="AE366" s="92" t="s">
        <v>2242</v>
      </c>
    </row>
    <row r="367" spans="1:31" ht="12.75" customHeight="1">
      <c r="A367" s="92" t="s">
        <v>846</v>
      </c>
      <c r="B367" s="92" t="s">
        <v>47</v>
      </c>
      <c r="C367" s="92" t="s">
        <v>922</v>
      </c>
      <c r="D367" s="92"/>
      <c r="E367" s="204">
        <v>9923929</v>
      </c>
      <c r="F367" s="92" t="s">
        <v>775</v>
      </c>
      <c r="G367" s="263">
        <v>3868614</v>
      </c>
      <c r="H367" s="156" t="s">
        <v>776</v>
      </c>
      <c r="I367" s="263">
        <v>9</v>
      </c>
      <c r="J367" s="263">
        <v>21</v>
      </c>
      <c r="K367" s="265">
        <v>199948.16</v>
      </c>
      <c r="L367" s="100">
        <v>44469</v>
      </c>
      <c r="M367" s="100">
        <v>44440</v>
      </c>
      <c r="N367" s="100">
        <v>44425</v>
      </c>
      <c r="O367" s="92" t="s">
        <v>777</v>
      </c>
      <c r="P367" s="92" t="s">
        <v>1109</v>
      </c>
      <c r="Q367" s="92"/>
      <c r="R367" s="92"/>
      <c r="S367" s="92"/>
      <c r="T367" s="92" t="s">
        <v>2339</v>
      </c>
      <c r="U367" s="92" t="s">
        <v>2340</v>
      </c>
      <c r="V367" s="92" t="s">
        <v>606</v>
      </c>
      <c r="W367" s="92" t="s">
        <v>770</v>
      </c>
      <c r="X367" s="92" t="s">
        <v>778</v>
      </c>
      <c r="Y367" s="92" t="s">
        <v>778</v>
      </c>
      <c r="Z367" s="92" t="s">
        <v>789</v>
      </c>
      <c r="AA367" s="92"/>
      <c r="AB367" s="92"/>
      <c r="AC367" s="92"/>
      <c r="AD367" s="92"/>
      <c r="AE367" s="92"/>
    </row>
    <row r="368" spans="1:31" ht="12.75" customHeight="1">
      <c r="A368" s="92" t="s">
        <v>846</v>
      </c>
      <c r="B368" s="92" t="s">
        <v>47</v>
      </c>
      <c r="C368" s="92" t="s">
        <v>922</v>
      </c>
      <c r="D368" s="92"/>
      <c r="E368" s="204">
        <v>9932873</v>
      </c>
      <c r="F368" s="92" t="s">
        <v>49</v>
      </c>
      <c r="G368" s="263">
        <v>18713688</v>
      </c>
      <c r="H368" s="156" t="s">
        <v>772</v>
      </c>
      <c r="I368" s="263">
        <v>9</v>
      </c>
      <c r="J368" s="263">
        <v>21</v>
      </c>
      <c r="K368" s="265">
        <v>-15000</v>
      </c>
      <c r="L368" s="100">
        <v>44469</v>
      </c>
      <c r="M368" s="100">
        <v>44469</v>
      </c>
      <c r="N368" s="100">
        <v>44441</v>
      </c>
      <c r="O368" s="92" t="s">
        <v>2192</v>
      </c>
      <c r="P368" s="92" t="s">
        <v>2216</v>
      </c>
      <c r="Q368" s="92"/>
      <c r="R368" s="92" t="s">
        <v>957</v>
      </c>
      <c r="S368" s="92"/>
      <c r="T368" s="92" t="s">
        <v>2341</v>
      </c>
      <c r="U368" s="92">
        <v>0</v>
      </c>
      <c r="V368" s="92" t="s">
        <v>606</v>
      </c>
      <c r="W368" s="92" t="s">
        <v>770</v>
      </c>
      <c r="X368" s="92" t="s">
        <v>1041</v>
      </c>
      <c r="Y368" s="92" t="s">
        <v>1891</v>
      </c>
      <c r="Z368" s="92" t="s">
        <v>789</v>
      </c>
      <c r="AA368" s="92" t="s">
        <v>1909</v>
      </c>
      <c r="AB368" s="92"/>
      <c r="AC368" s="92"/>
      <c r="AD368" s="92"/>
      <c r="AE368" s="92"/>
    </row>
    <row r="369" spans="1:31" ht="12.75" customHeight="1">
      <c r="A369" s="92" t="s">
        <v>846</v>
      </c>
      <c r="B369" s="92" t="s">
        <v>47</v>
      </c>
      <c r="C369" s="92" t="s">
        <v>922</v>
      </c>
      <c r="D369" s="92"/>
      <c r="E369" s="204">
        <v>9932913</v>
      </c>
      <c r="F369" s="92" t="s">
        <v>49</v>
      </c>
      <c r="G369" s="263">
        <v>18713697</v>
      </c>
      <c r="H369" s="156" t="s">
        <v>772</v>
      </c>
      <c r="I369" s="263">
        <v>9</v>
      </c>
      <c r="J369" s="263">
        <v>21</v>
      </c>
      <c r="K369" s="265">
        <v>15000</v>
      </c>
      <c r="L369" s="100">
        <v>44469</v>
      </c>
      <c r="M369" s="100">
        <v>44469</v>
      </c>
      <c r="N369" s="100">
        <v>44441</v>
      </c>
      <c r="O369" s="92" t="s">
        <v>2192</v>
      </c>
      <c r="P369" s="92" t="s">
        <v>2217</v>
      </c>
      <c r="Q369" s="92"/>
      <c r="R369" s="92" t="s">
        <v>957</v>
      </c>
      <c r="S369" s="92"/>
      <c r="T369" s="92" t="s">
        <v>2341</v>
      </c>
      <c r="U369" s="92">
        <v>0</v>
      </c>
      <c r="V369" s="92" t="s">
        <v>606</v>
      </c>
      <c r="W369" s="92" t="s">
        <v>770</v>
      </c>
      <c r="X369" s="92" t="s">
        <v>1041</v>
      </c>
      <c r="Y369" s="92" t="s">
        <v>778</v>
      </c>
      <c r="Z369" s="92" t="s">
        <v>789</v>
      </c>
      <c r="AA369" s="92" t="s">
        <v>1909</v>
      </c>
      <c r="AB369" s="92"/>
      <c r="AC369" s="92"/>
      <c r="AD369" s="92"/>
      <c r="AE369" s="92"/>
    </row>
    <row r="370" spans="1:31" ht="12.75" customHeight="1">
      <c r="A370" s="92" t="s">
        <v>846</v>
      </c>
      <c r="B370" s="92" t="s">
        <v>72</v>
      </c>
      <c r="C370" s="92" t="s">
        <v>922</v>
      </c>
      <c r="D370" s="92"/>
      <c r="E370" s="204">
        <v>9932873</v>
      </c>
      <c r="F370" s="92" t="s">
        <v>49</v>
      </c>
      <c r="G370" s="263">
        <v>18713688</v>
      </c>
      <c r="H370" s="156" t="s">
        <v>772</v>
      </c>
      <c r="I370" s="263">
        <v>9</v>
      </c>
      <c r="J370" s="263">
        <v>21</v>
      </c>
      <c r="K370" s="265">
        <v>-6300</v>
      </c>
      <c r="L370" s="100">
        <v>44469</v>
      </c>
      <c r="M370" s="100">
        <v>44469</v>
      </c>
      <c r="N370" s="100">
        <v>44441</v>
      </c>
      <c r="O370" s="92" t="s">
        <v>1224</v>
      </c>
      <c r="P370" s="92" t="s">
        <v>2216</v>
      </c>
      <c r="Q370" s="92"/>
      <c r="R370" s="92" t="s">
        <v>957</v>
      </c>
      <c r="S370" s="92"/>
      <c r="T370" s="92" t="s">
        <v>2342</v>
      </c>
      <c r="U370" s="92">
        <v>0</v>
      </c>
      <c r="V370" s="92" t="s">
        <v>606</v>
      </c>
      <c r="W370" s="92" t="s">
        <v>770</v>
      </c>
      <c r="X370" s="92" t="s">
        <v>1041</v>
      </c>
      <c r="Y370" s="92" t="s">
        <v>1891</v>
      </c>
      <c r="Z370" s="92" t="s">
        <v>786</v>
      </c>
      <c r="AA370" s="92" t="s">
        <v>1919</v>
      </c>
      <c r="AB370" s="92"/>
      <c r="AC370" s="92"/>
      <c r="AD370" s="92"/>
      <c r="AE370" s="92"/>
    </row>
    <row r="371" spans="1:31" ht="12.75" customHeight="1">
      <c r="A371" s="92" t="s">
        <v>846</v>
      </c>
      <c r="B371" s="92" t="s">
        <v>72</v>
      </c>
      <c r="C371" s="92" t="s">
        <v>922</v>
      </c>
      <c r="D371" s="92"/>
      <c r="E371" s="204">
        <v>9932873</v>
      </c>
      <c r="F371" s="92" t="s">
        <v>49</v>
      </c>
      <c r="G371" s="263">
        <v>18713688</v>
      </c>
      <c r="H371" s="156" t="s">
        <v>772</v>
      </c>
      <c r="I371" s="263">
        <v>9</v>
      </c>
      <c r="J371" s="263">
        <v>21</v>
      </c>
      <c r="K371" s="265">
        <v>-10000</v>
      </c>
      <c r="L371" s="100">
        <v>44469</v>
      </c>
      <c r="M371" s="100">
        <v>44469</v>
      </c>
      <c r="N371" s="100">
        <v>44441</v>
      </c>
      <c r="O371" s="92" t="s">
        <v>2190</v>
      </c>
      <c r="P371" s="92" t="s">
        <v>2216</v>
      </c>
      <c r="Q371" s="92"/>
      <c r="R371" s="92" t="s">
        <v>957</v>
      </c>
      <c r="S371" s="92"/>
      <c r="T371" s="92" t="s">
        <v>2343</v>
      </c>
      <c r="U371" s="92">
        <v>0</v>
      </c>
      <c r="V371" s="92" t="s">
        <v>606</v>
      </c>
      <c r="W371" s="92" t="s">
        <v>770</v>
      </c>
      <c r="X371" s="92" t="s">
        <v>1041</v>
      </c>
      <c r="Y371" s="92" t="s">
        <v>1891</v>
      </c>
      <c r="Z371" s="92" t="s">
        <v>786</v>
      </c>
      <c r="AA371" s="92" t="s">
        <v>1922</v>
      </c>
      <c r="AB371" s="92"/>
      <c r="AC371" s="92"/>
      <c r="AD371" s="92"/>
      <c r="AE371" s="92"/>
    </row>
    <row r="372" spans="1:31" ht="12.75" customHeight="1">
      <c r="A372" s="92" t="s">
        <v>846</v>
      </c>
      <c r="B372" s="92" t="s">
        <v>72</v>
      </c>
      <c r="C372" s="92" t="s">
        <v>922</v>
      </c>
      <c r="D372" s="92"/>
      <c r="E372" s="204">
        <v>9932873</v>
      </c>
      <c r="F372" s="92" t="s">
        <v>49</v>
      </c>
      <c r="G372" s="263">
        <v>18713688</v>
      </c>
      <c r="H372" s="156" t="s">
        <v>772</v>
      </c>
      <c r="I372" s="263">
        <v>9</v>
      </c>
      <c r="J372" s="263">
        <v>21</v>
      </c>
      <c r="K372" s="265">
        <v>-35000</v>
      </c>
      <c r="L372" s="100">
        <v>44469</v>
      </c>
      <c r="M372" s="100">
        <v>44469</v>
      </c>
      <c r="N372" s="100">
        <v>44441</v>
      </c>
      <c r="O372" s="92" t="s">
        <v>1227</v>
      </c>
      <c r="P372" s="92" t="s">
        <v>2216</v>
      </c>
      <c r="Q372" s="92"/>
      <c r="R372" s="92" t="s">
        <v>957</v>
      </c>
      <c r="S372" s="92"/>
      <c r="T372" s="92" t="s">
        <v>1070</v>
      </c>
      <c r="U372" s="92">
        <v>0</v>
      </c>
      <c r="V372" s="92" t="s">
        <v>606</v>
      </c>
      <c r="W372" s="92" t="s">
        <v>770</v>
      </c>
      <c r="X372" s="92" t="s">
        <v>1041</v>
      </c>
      <c r="Y372" s="92" t="s">
        <v>1891</v>
      </c>
      <c r="Z372" s="92" t="s">
        <v>786</v>
      </c>
      <c r="AA372" s="92" t="s">
        <v>1071</v>
      </c>
      <c r="AB372" s="92"/>
      <c r="AC372" s="92"/>
      <c r="AD372" s="92"/>
      <c r="AE372" s="92"/>
    </row>
    <row r="373" spans="1:31" ht="12.75" customHeight="1">
      <c r="A373" s="92" t="s">
        <v>846</v>
      </c>
      <c r="B373" s="92" t="s">
        <v>72</v>
      </c>
      <c r="C373" s="92" t="s">
        <v>922</v>
      </c>
      <c r="D373" s="92"/>
      <c r="E373" s="204">
        <v>9932913</v>
      </c>
      <c r="F373" s="92" t="s">
        <v>49</v>
      </c>
      <c r="G373" s="263">
        <v>18713697</v>
      </c>
      <c r="H373" s="156" t="s">
        <v>772</v>
      </c>
      <c r="I373" s="263">
        <v>9</v>
      </c>
      <c r="J373" s="263">
        <v>21</v>
      </c>
      <c r="K373" s="265">
        <v>6300</v>
      </c>
      <c r="L373" s="100">
        <v>44469</v>
      </c>
      <c r="M373" s="100">
        <v>44469</v>
      </c>
      <c r="N373" s="100">
        <v>44441</v>
      </c>
      <c r="O373" s="92" t="s">
        <v>1224</v>
      </c>
      <c r="P373" s="92" t="s">
        <v>2217</v>
      </c>
      <c r="Q373" s="92"/>
      <c r="R373" s="92" t="s">
        <v>957</v>
      </c>
      <c r="S373" s="92"/>
      <c r="T373" s="92" t="s">
        <v>2342</v>
      </c>
      <c r="U373" s="92">
        <v>0</v>
      </c>
      <c r="V373" s="92" t="s">
        <v>606</v>
      </c>
      <c r="W373" s="92" t="s">
        <v>770</v>
      </c>
      <c r="X373" s="92" t="s">
        <v>1041</v>
      </c>
      <c r="Y373" s="92" t="s">
        <v>778</v>
      </c>
      <c r="Z373" s="92" t="s">
        <v>786</v>
      </c>
      <c r="AA373" s="92" t="s">
        <v>1919</v>
      </c>
      <c r="AB373" s="92"/>
      <c r="AC373" s="92"/>
      <c r="AD373" s="92"/>
      <c r="AE373" s="92"/>
    </row>
    <row r="374" spans="1:31" ht="12.75" customHeight="1">
      <c r="A374" s="92" t="s">
        <v>846</v>
      </c>
      <c r="B374" s="92" t="s">
        <v>72</v>
      </c>
      <c r="C374" s="92" t="s">
        <v>922</v>
      </c>
      <c r="D374" s="92"/>
      <c r="E374" s="204">
        <v>9932913</v>
      </c>
      <c r="F374" s="92" t="s">
        <v>49</v>
      </c>
      <c r="G374" s="263">
        <v>18713697</v>
      </c>
      <c r="H374" s="156" t="s">
        <v>772</v>
      </c>
      <c r="I374" s="263">
        <v>9</v>
      </c>
      <c r="J374" s="263">
        <v>21</v>
      </c>
      <c r="K374" s="265">
        <v>10000</v>
      </c>
      <c r="L374" s="100">
        <v>44469</v>
      </c>
      <c r="M374" s="100">
        <v>44469</v>
      </c>
      <c r="N374" s="100">
        <v>44441</v>
      </c>
      <c r="O374" s="92" t="s">
        <v>2190</v>
      </c>
      <c r="P374" s="92" t="s">
        <v>2217</v>
      </c>
      <c r="Q374" s="92"/>
      <c r="R374" s="92" t="s">
        <v>957</v>
      </c>
      <c r="S374" s="92"/>
      <c r="T374" s="92" t="s">
        <v>2343</v>
      </c>
      <c r="U374" s="92">
        <v>0</v>
      </c>
      <c r="V374" s="92" t="s">
        <v>606</v>
      </c>
      <c r="W374" s="92" t="s">
        <v>770</v>
      </c>
      <c r="X374" s="92" t="s">
        <v>1041</v>
      </c>
      <c r="Y374" s="92" t="s">
        <v>778</v>
      </c>
      <c r="Z374" s="92" t="s">
        <v>786</v>
      </c>
      <c r="AA374" s="92" t="s">
        <v>1922</v>
      </c>
      <c r="AB374" s="92"/>
      <c r="AC374" s="92"/>
      <c r="AD374" s="92"/>
      <c r="AE374" s="92"/>
    </row>
    <row r="375" spans="1:31" ht="12.75" customHeight="1">
      <c r="A375" s="92" t="s">
        <v>846</v>
      </c>
      <c r="B375" s="92" t="s">
        <v>72</v>
      </c>
      <c r="C375" s="92" t="s">
        <v>922</v>
      </c>
      <c r="D375" s="92"/>
      <c r="E375" s="204">
        <v>9932913</v>
      </c>
      <c r="F375" s="92" t="s">
        <v>49</v>
      </c>
      <c r="G375" s="263">
        <v>18713697</v>
      </c>
      <c r="H375" s="156" t="s">
        <v>772</v>
      </c>
      <c r="I375" s="263">
        <v>9</v>
      </c>
      <c r="J375" s="263">
        <v>21</v>
      </c>
      <c r="K375" s="265">
        <v>35000</v>
      </c>
      <c r="L375" s="100">
        <v>44469</v>
      </c>
      <c r="M375" s="100">
        <v>44469</v>
      </c>
      <c r="N375" s="100">
        <v>44441</v>
      </c>
      <c r="O375" s="92" t="s">
        <v>1227</v>
      </c>
      <c r="P375" s="92" t="s">
        <v>2217</v>
      </c>
      <c r="Q375" s="92"/>
      <c r="R375" s="92" t="s">
        <v>957</v>
      </c>
      <c r="S375" s="92"/>
      <c r="T375" s="92" t="s">
        <v>1070</v>
      </c>
      <c r="U375" s="92">
        <v>0</v>
      </c>
      <c r="V375" s="92" t="s">
        <v>606</v>
      </c>
      <c r="W375" s="92" t="s">
        <v>770</v>
      </c>
      <c r="X375" s="92" t="s">
        <v>1041</v>
      </c>
      <c r="Y375" s="92" t="s">
        <v>778</v>
      </c>
      <c r="Z375" s="92" t="s">
        <v>786</v>
      </c>
      <c r="AA375" s="92" t="s">
        <v>1071</v>
      </c>
      <c r="AB375" s="92"/>
      <c r="AC375" s="92"/>
      <c r="AD375" s="92"/>
      <c r="AE375" s="92"/>
    </row>
    <row r="376" spans="1:31" ht="12.75" customHeight="1">
      <c r="A376" s="92" t="s">
        <v>846</v>
      </c>
      <c r="B376" s="92" t="s">
        <v>1003</v>
      </c>
      <c r="C376" s="92" t="s">
        <v>922</v>
      </c>
      <c r="D376" s="92"/>
      <c r="E376" s="204">
        <v>9934832</v>
      </c>
      <c r="F376" s="92" t="s">
        <v>768</v>
      </c>
      <c r="G376" s="263">
        <v>1406163</v>
      </c>
      <c r="H376" s="156" t="s">
        <v>769</v>
      </c>
      <c r="I376" s="263">
        <v>9</v>
      </c>
      <c r="J376" s="263">
        <v>21</v>
      </c>
      <c r="K376" s="265">
        <v>433327.88</v>
      </c>
      <c r="L376" s="100">
        <v>44378</v>
      </c>
      <c r="M376" s="100">
        <v>44448</v>
      </c>
      <c r="N376" s="100">
        <v>44448</v>
      </c>
      <c r="O376" s="92" t="s">
        <v>1483</v>
      </c>
      <c r="P376" s="92" t="s">
        <v>1095</v>
      </c>
      <c r="Q376" s="92"/>
      <c r="R376" s="92"/>
      <c r="S376" s="92"/>
      <c r="T376" s="92" t="s">
        <v>1092</v>
      </c>
      <c r="U376" s="92" t="s">
        <v>2344</v>
      </c>
      <c r="V376" s="92" t="s">
        <v>606</v>
      </c>
      <c r="W376" s="92" t="s">
        <v>770</v>
      </c>
      <c r="X376" s="92" t="s">
        <v>1236</v>
      </c>
      <c r="Y376" s="92" t="s">
        <v>778</v>
      </c>
      <c r="Z376" s="92" t="s">
        <v>1004</v>
      </c>
      <c r="AA376" s="92" t="s">
        <v>1093</v>
      </c>
      <c r="AB376" s="92"/>
      <c r="AC376" s="92"/>
      <c r="AD376" s="92"/>
      <c r="AE376" s="92" t="s">
        <v>2243</v>
      </c>
    </row>
    <row r="377" spans="1:31" ht="12.75" customHeight="1">
      <c r="A377" s="92" t="s">
        <v>846</v>
      </c>
      <c r="B377" s="92" t="s">
        <v>1003</v>
      </c>
      <c r="C377" s="92" t="s">
        <v>922</v>
      </c>
      <c r="D377" s="92"/>
      <c r="E377" s="204">
        <v>9929875</v>
      </c>
      <c r="F377" s="92" t="s">
        <v>49</v>
      </c>
      <c r="G377" s="263">
        <v>18700813</v>
      </c>
      <c r="H377" s="156" t="s">
        <v>772</v>
      </c>
      <c r="I377" s="263">
        <v>9</v>
      </c>
      <c r="J377" s="263">
        <v>21</v>
      </c>
      <c r="K377" s="265">
        <v>-433327.88</v>
      </c>
      <c r="L377" s="100">
        <v>44435</v>
      </c>
      <c r="M377" s="100">
        <v>44469</v>
      </c>
      <c r="N377" s="100">
        <v>44435</v>
      </c>
      <c r="O377" s="92" t="s">
        <v>2244</v>
      </c>
      <c r="P377" s="92" t="s">
        <v>2245</v>
      </c>
      <c r="Q377" s="92"/>
      <c r="R377" s="92"/>
      <c r="S377" s="92"/>
      <c r="T377" s="92" t="s">
        <v>1092</v>
      </c>
      <c r="U377" s="92">
        <v>0</v>
      </c>
      <c r="V377" s="92" t="s">
        <v>606</v>
      </c>
      <c r="W377" s="92" t="s">
        <v>770</v>
      </c>
      <c r="X377" s="92" t="s">
        <v>2246</v>
      </c>
      <c r="Y377" s="92" t="s">
        <v>1281</v>
      </c>
      <c r="Z377" s="92" t="s">
        <v>1004</v>
      </c>
      <c r="AA377" s="92" t="s">
        <v>1093</v>
      </c>
      <c r="AB377" s="92"/>
      <c r="AC377" s="92"/>
      <c r="AD377" s="92"/>
      <c r="AE377" s="92"/>
    </row>
    <row r="378" spans="1:31" ht="12.75" customHeight="1">
      <c r="A378" s="92" t="s">
        <v>846</v>
      </c>
      <c r="B378" s="92" t="s">
        <v>609</v>
      </c>
      <c r="C378" s="92" t="s">
        <v>922</v>
      </c>
      <c r="D378" s="92"/>
      <c r="E378" s="204">
        <v>9928600</v>
      </c>
      <c r="F378" s="92" t="s">
        <v>49</v>
      </c>
      <c r="G378" s="263">
        <v>18598447</v>
      </c>
      <c r="H378" s="156" t="s">
        <v>772</v>
      </c>
      <c r="I378" s="263">
        <v>9</v>
      </c>
      <c r="J378" s="263">
        <v>21</v>
      </c>
      <c r="K378" s="265">
        <v>-450000</v>
      </c>
      <c r="L378" s="100">
        <v>44440</v>
      </c>
      <c r="M378" s="100">
        <v>44440</v>
      </c>
      <c r="N378" s="100">
        <v>44433</v>
      </c>
      <c r="O378" s="92" t="s">
        <v>2247</v>
      </c>
      <c r="P378" s="92" t="s">
        <v>2247</v>
      </c>
      <c r="Q378" s="92"/>
      <c r="R378" s="92" t="s">
        <v>773</v>
      </c>
      <c r="S378" s="92"/>
      <c r="T378" s="92" t="s">
        <v>2345</v>
      </c>
      <c r="U378" s="92">
        <v>0</v>
      </c>
      <c r="V378" s="92" t="s">
        <v>606</v>
      </c>
      <c r="W378" s="92" t="s">
        <v>770</v>
      </c>
      <c r="X378" s="92" t="s">
        <v>1041</v>
      </c>
      <c r="Y378" s="92" t="s">
        <v>778</v>
      </c>
      <c r="Z378" s="92" t="s">
        <v>788</v>
      </c>
      <c r="AA378" s="92" t="s">
        <v>2248</v>
      </c>
      <c r="AB378" s="92"/>
      <c r="AC378" s="92"/>
      <c r="AD378" s="92"/>
      <c r="AE378" s="92"/>
    </row>
    <row r="379" spans="1:31" ht="12.75" customHeight="1">
      <c r="A379" s="92" t="s">
        <v>846</v>
      </c>
      <c r="B379" s="92" t="s">
        <v>67</v>
      </c>
      <c r="C379" s="92" t="s">
        <v>922</v>
      </c>
      <c r="D379" s="92"/>
      <c r="E379" s="204">
        <v>9932873</v>
      </c>
      <c r="F379" s="92" t="s">
        <v>49</v>
      </c>
      <c r="G379" s="263">
        <v>18713688</v>
      </c>
      <c r="H379" s="156" t="s">
        <v>772</v>
      </c>
      <c r="I379" s="263">
        <v>9</v>
      </c>
      <c r="J379" s="263">
        <v>21</v>
      </c>
      <c r="K379" s="265">
        <v>-5000</v>
      </c>
      <c r="L379" s="100">
        <v>44469</v>
      </c>
      <c r="M379" s="100">
        <v>44469</v>
      </c>
      <c r="N379" s="100">
        <v>44441</v>
      </c>
      <c r="O379" s="92" t="s">
        <v>1222</v>
      </c>
      <c r="P379" s="92" t="s">
        <v>2216</v>
      </c>
      <c r="Q379" s="92"/>
      <c r="R379" s="92" t="s">
        <v>957</v>
      </c>
      <c r="S379" s="92"/>
      <c r="T379" s="92" t="s">
        <v>2346</v>
      </c>
      <c r="U379" s="92">
        <v>0</v>
      </c>
      <c r="V379" s="92" t="s">
        <v>606</v>
      </c>
      <c r="W379" s="92" t="s">
        <v>770</v>
      </c>
      <c r="X379" s="92" t="s">
        <v>1041</v>
      </c>
      <c r="Y379" s="92" t="s">
        <v>1891</v>
      </c>
      <c r="Z379" s="92" t="s">
        <v>790</v>
      </c>
      <c r="AA379" s="92" t="s">
        <v>1928</v>
      </c>
      <c r="AB379" s="92"/>
      <c r="AC379" s="92"/>
      <c r="AD379" s="92"/>
      <c r="AE379" s="92"/>
    </row>
    <row r="380" spans="1:31" ht="12.75" customHeight="1">
      <c r="A380" s="92" t="s">
        <v>846</v>
      </c>
      <c r="B380" s="92" t="s">
        <v>67</v>
      </c>
      <c r="C380" s="92" t="s">
        <v>922</v>
      </c>
      <c r="D380" s="92"/>
      <c r="E380" s="204">
        <v>9932913</v>
      </c>
      <c r="F380" s="92" t="s">
        <v>49</v>
      </c>
      <c r="G380" s="263">
        <v>18713697</v>
      </c>
      <c r="H380" s="156" t="s">
        <v>772</v>
      </c>
      <c r="I380" s="263">
        <v>9</v>
      </c>
      <c r="J380" s="263">
        <v>21</v>
      </c>
      <c r="K380" s="265">
        <v>5000</v>
      </c>
      <c r="L380" s="100">
        <v>44469</v>
      </c>
      <c r="M380" s="100">
        <v>44469</v>
      </c>
      <c r="N380" s="100">
        <v>44441</v>
      </c>
      <c r="O380" s="92" t="s">
        <v>1222</v>
      </c>
      <c r="P380" s="92" t="s">
        <v>2217</v>
      </c>
      <c r="Q380" s="92"/>
      <c r="R380" s="92" t="s">
        <v>957</v>
      </c>
      <c r="S380" s="92"/>
      <c r="T380" s="92" t="s">
        <v>2346</v>
      </c>
      <c r="U380" s="92">
        <v>0</v>
      </c>
      <c r="V380" s="92" t="s">
        <v>606</v>
      </c>
      <c r="W380" s="92" t="s">
        <v>770</v>
      </c>
      <c r="X380" s="92" t="s">
        <v>1041</v>
      </c>
      <c r="Y380" s="92" t="s">
        <v>778</v>
      </c>
      <c r="Z380" s="92" t="s">
        <v>790</v>
      </c>
      <c r="AA380" s="92" t="s">
        <v>1928</v>
      </c>
      <c r="AB380" s="92"/>
      <c r="AC380" s="92"/>
      <c r="AD380" s="92"/>
      <c r="AE380" s="92"/>
    </row>
    <row r="381" spans="1:31" ht="12.75" customHeight="1">
      <c r="A381" s="92" t="s">
        <v>892</v>
      </c>
      <c r="B381" s="92" t="s">
        <v>50</v>
      </c>
      <c r="C381" s="92" t="s">
        <v>922</v>
      </c>
      <c r="D381" s="92"/>
      <c r="E381" s="204">
        <v>9935253</v>
      </c>
      <c r="F381" s="92" t="s">
        <v>768</v>
      </c>
      <c r="G381" s="263">
        <v>1406576</v>
      </c>
      <c r="H381" s="156" t="s">
        <v>769</v>
      </c>
      <c r="I381" s="263">
        <v>9</v>
      </c>
      <c r="J381" s="263">
        <v>21</v>
      </c>
      <c r="K381" s="265">
        <v>80000</v>
      </c>
      <c r="L381" s="100">
        <v>44439</v>
      </c>
      <c r="M381" s="100">
        <v>44448</v>
      </c>
      <c r="N381" s="100">
        <v>44448</v>
      </c>
      <c r="O381" s="92" t="s">
        <v>2249</v>
      </c>
      <c r="P381" s="92" t="s">
        <v>872</v>
      </c>
      <c r="Q381" s="92"/>
      <c r="R381" s="92"/>
      <c r="S381" s="92"/>
      <c r="T381" s="92" t="s">
        <v>2347</v>
      </c>
      <c r="U381" s="92" t="s">
        <v>2348</v>
      </c>
      <c r="V381" s="92" t="s">
        <v>606</v>
      </c>
      <c r="W381" s="92" t="s">
        <v>770</v>
      </c>
      <c r="X381" s="92" t="s">
        <v>1236</v>
      </c>
      <c r="Y381" s="92" t="s">
        <v>778</v>
      </c>
      <c r="Z381" s="92" t="s">
        <v>925</v>
      </c>
      <c r="AA381" s="92" t="s">
        <v>2251</v>
      </c>
      <c r="AB381" s="92"/>
      <c r="AC381" s="92"/>
      <c r="AD381" s="92"/>
      <c r="AE381" s="92" t="s">
        <v>2250</v>
      </c>
    </row>
    <row r="382" spans="1:31" ht="12.75" customHeight="1">
      <c r="A382" s="92" t="s">
        <v>892</v>
      </c>
      <c r="B382" s="92" t="s">
        <v>50</v>
      </c>
      <c r="C382" s="92" t="s">
        <v>922</v>
      </c>
      <c r="D382" s="92"/>
      <c r="E382" s="204">
        <v>9937744</v>
      </c>
      <c r="F382" s="92" t="s">
        <v>49</v>
      </c>
      <c r="G382" s="263">
        <v>18714399</v>
      </c>
      <c r="H382" s="156" t="s">
        <v>772</v>
      </c>
      <c r="I382" s="263">
        <v>9</v>
      </c>
      <c r="J382" s="263">
        <v>21</v>
      </c>
      <c r="K382" s="265">
        <v>-71550</v>
      </c>
      <c r="L382" s="100">
        <v>44454</v>
      </c>
      <c r="M382" s="100">
        <v>44454</v>
      </c>
      <c r="N382" s="100">
        <v>44453</v>
      </c>
      <c r="O382" s="92" t="s">
        <v>2252</v>
      </c>
      <c r="P382" s="92" t="s">
        <v>2253</v>
      </c>
      <c r="Q382" s="92"/>
      <c r="R382" s="92" t="s">
        <v>773</v>
      </c>
      <c r="S382" s="92"/>
      <c r="T382" s="92" t="s">
        <v>2349</v>
      </c>
      <c r="U382" s="92">
        <v>0</v>
      </c>
      <c r="V382" s="92" t="s">
        <v>606</v>
      </c>
      <c r="W382" s="92" t="s">
        <v>770</v>
      </c>
      <c r="X382" s="92" t="s">
        <v>2254</v>
      </c>
      <c r="Y382" s="92" t="s">
        <v>1305</v>
      </c>
      <c r="Z382" s="92" t="s">
        <v>925</v>
      </c>
      <c r="AA382" s="92" t="s">
        <v>2255</v>
      </c>
      <c r="AB382" s="92"/>
      <c r="AC382" s="92"/>
      <c r="AD382" s="92"/>
      <c r="AE382" s="92"/>
    </row>
    <row r="383" spans="1:31" ht="12.75" customHeight="1">
      <c r="A383" s="92" t="s">
        <v>892</v>
      </c>
      <c r="B383" s="92" t="s">
        <v>50</v>
      </c>
      <c r="C383" s="92" t="s">
        <v>922</v>
      </c>
      <c r="D383" s="92"/>
      <c r="E383" s="204">
        <v>9937744</v>
      </c>
      <c r="F383" s="92" t="s">
        <v>49</v>
      </c>
      <c r="G383" s="263">
        <v>18714399</v>
      </c>
      <c r="H383" s="156" t="s">
        <v>772</v>
      </c>
      <c r="I383" s="263">
        <v>9</v>
      </c>
      <c r="J383" s="263">
        <v>21</v>
      </c>
      <c r="K383" s="265">
        <v>-473900</v>
      </c>
      <c r="L383" s="100">
        <v>44454</v>
      </c>
      <c r="M383" s="100">
        <v>44454</v>
      </c>
      <c r="N383" s="100">
        <v>44453</v>
      </c>
      <c r="O383" s="92" t="s">
        <v>2256</v>
      </c>
      <c r="P383" s="92" t="s">
        <v>2253</v>
      </c>
      <c r="Q383" s="92"/>
      <c r="R383" s="92" t="s">
        <v>773</v>
      </c>
      <c r="S383" s="92"/>
      <c r="T383" s="92" t="s">
        <v>2350</v>
      </c>
      <c r="U383" s="92">
        <v>0</v>
      </c>
      <c r="V383" s="92" t="s">
        <v>606</v>
      </c>
      <c r="W383" s="92" t="s">
        <v>770</v>
      </c>
      <c r="X383" s="92" t="s">
        <v>2254</v>
      </c>
      <c r="Y383" s="92" t="s">
        <v>1305</v>
      </c>
      <c r="Z383" s="92" t="s">
        <v>925</v>
      </c>
      <c r="AA383" s="92" t="s">
        <v>2257</v>
      </c>
      <c r="AB383" s="92"/>
      <c r="AC383" s="92"/>
      <c r="AD383" s="92"/>
      <c r="AE383" s="92"/>
    </row>
    <row r="384" spans="1:31" ht="12.75" customHeight="1">
      <c r="A384" s="92" t="s">
        <v>892</v>
      </c>
      <c r="B384" s="92" t="s">
        <v>50</v>
      </c>
      <c r="C384" s="92" t="s">
        <v>922</v>
      </c>
      <c r="D384" s="92"/>
      <c r="E384" s="204">
        <v>9937744</v>
      </c>
      <c r="F384" s="92" t="s">
        <v>49</v>
      </c>
      <c r="G384" s="263">
        <v>18714399</v>
      </c>
      <c r="H384" s="156" t="s">
        <v>772</v>
      </c>
      <c r="I384" s="263">
        <v>9</v>
      </c>
      <c r="J384" s="263">
        <v>21</v>
      </c>
      <c r="K384" s="265">
        <v>-599850</v>
      </c>
      <c r="L384" s="100">
        <v>44454</v>
      </c>
      <c r="M384" s="100">
        <v>44454</v>
      </c>
      <c r="N384" s="100">
        <v>44453</v>
      </c>
      <c r="O384" s="92" t="s">
        <v>2258</v>
      </c>
      <c r="P384" s="92" t="s">
        <v>2253</v>
      </c>
      <c r="Q384" s="92"/>
      <c r="R384" s="92" t="s">
        <v>773</v>
      </c>
      <c r="S384" s="92"/>
      <c r="T384" s="92" t="s">
        <v>2351</v>
      </c>
      <c r="U384" s="92">
        <v>0</v>
      </c>
      <c r="V384" s="92" t="s">
        <v>606</v>
      </c>
      <c r="W384" s="92" t="s">
        <v>770</v>
      </c>
      <c r="X384" s="92" t="s">
        <v>2254</v>
      </c>
      <c r="Y384" s="92" t="s">
        <v>1305</v>
      </c>
      <c r="Z384" s="92" t="s">
        <v>925</v>
      </c>
      <c r="AA384" s="92" t="s">
        <v>2259</v>
      </c>
      <c r="AB384" s="92"/>
      <c r="AC384" s="92"/>
      <c r="AD384" s="92"/>
      <c r="AE384" s="92"/>
    </row>
    <row r="385" spans="1:31" ht="12.75" customHeight="1">
      <c r="A385" s="92" t="s">
        <v>892</v>
      </c>
      <c r="B385" s="92" t="s">
        <v>50</v>
      </c>
      <c r="C385" s="92" t="s">
        <v>922</v>
      </c>
      <c r="D385" s="92"/>
      <c r="E385" s="204">
        <v>9937744</v>
      </c>
      <c r="F385" s="92" t="s">
        <v>49</v>
      </c>
      <c r="G385" s="263">
        <v>18714399</v>
      </c>
      <c r="H385" s="156" t="s">
        <v>772</v>
      </c>
      <c r="I385" s="263">
        <v>9</v>
      </c>
      <c r="J385" s="263">
        <v>21</v>
      </c>
      <c r="K385" s="265">
        <v>-162500</v>
      </c>
      <c r="L385" s="100">
        <v>44454</v>
      </c>
      <c r="M385" s="100">
        <v>44454</v>
      </c>
      <c r="N385" s="100">
        <v>44453</v>
      </c>
      <c r="O385" s="92" t="s">
        <v>2260</v>
      </c>
      <c r="P385" s="92" t="s">
        <v>2253</v>
      </c>
      <c r="Q385" s="92"/>
      <c r="R385" s="92" t="s">
        <v>773</v>
      </c>
      <c r="S385" s="92"/>
      <c r="T385" s="92" t="s">
        <v>2352</v>
      </c>
      <c r="U385" s="92">
        <v>0</v>
      </c>
      <c r="V385" s="92" t="s">
        <v>606</v>
      </c>
      <c r="W385" s="92" t="s">
        <v>770</v>
      </c>
      <c r="X385" s="92" t="s">
        <v>2254</v>
      </c>
      <c r="Y385" s="92" t="s">
        <v>1305</v>
      </c>
      <c r="Z385" s="92" t="s">
        <v>925</v>
      </c>
      <c r="AA385" s="92" t="s">
        <v>2261</v>
      </c>
      <c r="AB385" s="92"/>
      <c r="AC385" s="92"/>
      <c r="AD385" s="92"/>
      <c r="AE385" s="92"/>
    </row>
    <row r="386" spans="1:31" ht="12.75" customHeight="1">
      <c r="A386" s="92" t="s">
        <v>892</v>
      </c>
      <c r="B386" s="92" t="s">
        <v>50</v>
      </c>
      <c r="C386" s="92" t="s">
        <v>922</v>
      </c>
      <c r="D386" s="92"/>
      <c r="E386" s="204">
        <v>9937744</v>
      </c>
      <c r="F386" s="92" t="s">
        <v>49</v>
      </c>
      <c r="G386" s="263">
        <v>18714399</v>
      </c>
      <c r="H386" s="156" t="s">
        <v>772</v>
      </c>
      <c r="I386" s="263">
        <v>9</v>
      </c>
      <c r="J386" s="263">
        <v>21</v>
      </c>
      <c r="K386" s="265">
        <v>-1302000</v>
      </c>
      <c r="L386" s="100">
        <v>44454</v>
      </c>
      <c r="M386" s="100">
        <v>44454</v>
      </c>
      <c r="N386" s="100">
        <v>44453</v>
      </c>
      <c r="O386" s="92" t="s">
        <v>2262</v>
      </c>
      <c r="P386" s="92" t="s">
        <v>2253</v>
      </c>
      <c r="Q386" s="92"/>
      <c r="R386" s="92" t="s">
        <v>773</v>
      </c>
      <c r="S386" s="92"/>
      <c r="T386" s="92" t="s">
        <v>2353</v>
      </c>
      <c r="U386" s="92">
        <v>0</v>
      </c>
      <c r="V386" s="92" t="s">
        <v>606</v>
      </c>
      <c r="W386" s="92" t="s">
        <v>770</v>
      </c>
      <c r="X386" s="92" t="s">
        <v>2254</v>
      </c>
      <c r="Y386" s="92" t="s">
        <v>1305</v>
      </c>
      <c r="Z386" s="92" t="s">
        <v>925</v>
      </c>
      <c r="AA386" s="92" t="s">
        <v>2263</v>
      </c>
      <c r="AB386" s="92"/>
      <c r="AC386" s="92"/>
      <c r="AD386" s="92"/>
      <c r="AE386" s="92"/>
    </row>
    <row r="387" spans="1:31" ht="12.75" customHeight="1">
      <c r="A387" s="92" t="s">
        <v>892</v>
      </c>
      <c r="B387" s="92" t="s">
        <v>50</v>
      </c>
      <c r="C387" s="92" t="s">
        <v>922</v>
      </c>
      <c r="D387" s="92"/>
      <c r="E387" s="204">
        <v>9930495</v>
      </c>
      <c r="F387" s="92" t="s">
        <v>49</v>
      </c>
      <c r="G387" s="263">
        <v>18713186</v>
      </c>
      <c r="H387" s="156" t="s">
        <v>772</v>
      </c>
      <c r="I387" s="263">
        <v>9</v>
      </c>
      <c r="J387" s="263">
        <v>21</v>
      </c>
      <c r="K387" s="265">
        <v>-538000</v>
      </c>
      <c r="L387" s="100">
        <v>44469</v>
      </c>
      <c r="M387" s="100">
        <v>44469</v>
      </c>
      <c r="N387" s="100">
        <v>44438</v>
      </c>
      <c r="O387" s="92" t="s">
        <v>2264</v>
      </c>
      <c r="P387" s="92" t="s">
        <v>2265</v>
      </c>
      <c r="Q387" s="92"/>
      <c r="R387" s="92" t="s">
        <v>773</v>
      </c>
      <c r="S387" s="92"/>
      <c r="T387" s="92" t="s">
        <v>2354</v>
      </c>
      <c r="U387" s="92">
        <v>0</v>
      </c>
      <c r="V387" s="92" t="s">
        <v>606</v>
      </c>
      <c r="W387" s="92" t="s">
        <v>770</v>
      </c>
      <c r="X387" s="92" t="s">
        <v>2254</v>
      </c>
      <c r="Y387" s="92" t="s">
        <v>1305</v>
      </c>
      <c r="Z387" s="92" t="s">
        <v>925</v>
      </c>
      <c r="AA387" s="92" t="s">
        <v>2189</v>
      </c>
      <c r="AB387" s="92"/>
      <c r="AC387" s="92"/>
      <c r="AD387" s="92"/>
      <c r="AE387" s="92"/>
    </row>
    <row r="388" spans="1:31" ht="12.75" customHeight="1">
      <c r="A388" s="92" t="s">
        <v>892</v>
      </c>
      <c r="B388" s="92" t="s">
        <v>50</v>
      </c>
      <c r="C388" s="92" t="s">
        <v>922</v>
      </c>
      <c r="D388" s="92"/>
      <c r="E388" s="204">
        <v>9930495</v>
      </c>
      <c r="F388" s="92" t="s">
        <v>49</v>
      </c>
      <c r="G388" s="263">
        <v>18713186</v>
      </c>
      <c r="H388" s="156" t="s">
        <v>772</v>
      </c>
      <c r="I388" s="263">
        <v>9</v>
      </c>
      <c r="J388" s="263">
        <v>21</v>
      </c>
      <c r="K388" s="265">
        <v>-224850</v>
      </c>
      <c r="L388" s="100">
        <v>44469</v>
      </c>
      <c r="M388" s="100">
        <v>44469</v>
      </c>
      <c r="N388" s="100">
        <v>44438</v>
      </c>
      <c r="O388" s="92" t="s">
        <v>2266</v>
      </c>
      <c r="P388" s="92" t="s">
        <v>2265</v>
      </c>
      <c r="Q388" s="92"/>
      <c r="R388" s="92" t="s">
        <v>773</v>
      </c>
      <c r="S388" s="92"/>
      <c r="T388" s="92" t="s">
        <v>2355</v>
      </c>
      <c r="U388" s="92">
        <v>0</v>
      </c>
      <c r="V388" s="92" t="s">
        <v>606</v>
      </c>
      <c r="W388" s="92" t="s">
        <v>770</v>
      </c>
      <c r="X388" s="92" t="s">
        <v>2254</v>
      </c>
      <c r="Y388" s="92" t="s">
        <v>1305</v>
      </c>
      <c r="Z388" s="92" t="s">
        <v>925</v>
      </c>
      <c r="AA388" s="92" t="s">
        <v>1943</v>
      </c>
      <c r="AB388" s="92"/>
      <c r="AC388" s="92"/>
      <c r="AD388" s="92"/>
      <c r="AE388" s="92"/>
    </row>
    <row r="389" spans="1:31" ht="12.75" customHeight="1">
      <c r="A389" s="92" t="s">
        <v>892</v>
      </c>
      <c r="B389" s="92" t="s">
        <v>50</v>
      </c>
      <c r="C389" s="92" t="s">
        <v>922</v>
      </c>
      <c r="D389" s="92"/>
      <c r="E389" s="204">
        <v>9930495</v>
      </c>
      <c r="F389" s="92" t="s">
        <v>49</v>
      </c>
      <c r="G389" s="263">
        <v>18713186</v>
      </c>
      <c r="H389" s="156" t="s">
        <v>772</v>
      </c>
      <c r="I389" s="263">
        <v>9</v>
      </c>
      <c r="J389" s="263">
        <v>21</v>
      </c>
      <c r="K389" s="265">
        <v>-85000</v>
      </c>
      <c r="L389" s="100">
        <v>44469</v>
      </c>
      <c r="M389" s="100">
        <v>44469</v>
      </c>
      <c r="N389" s="100">
        <v>44438</v>
      </c>
      <c r="O389" s="92" t="s">
        <v>2267</v>
      </c>
      <c r="P389" s="92" t="s">
        <v>2265</v>
      </c>
      <c r="Q389" s="92"/>
      <c r="R389" s="92" t="s">
        <v>773</v>
      </c>
      <c r="S389" s="92"/>
      <c r="T389" s="92" t="s">
        <v>2356</v>
      </c>
      <c r="U389" s="92">
        <v>0</v>
      </c>
      <c r="V389" s="92" t="s">
        <v>606</v>
      </c>
      <c r="W389" s="92" t="s">
        <v>770</v>
      </c>
      <c r="X389" s="92" t="s">
        <v>2254</v>
      </c>
      <c r="Y389" s="92" t="s">
        <v>1305</v>
      </c>
      <c r="Z389" s="92" t="s">
        <v>925</v>
      </c>
      <c r="AA389" s="92" t="s">
        <v>2071</v>
      </c>
      <c r="AB389" s="92"/>
      <c r="AC389" s="92"/>
      <c r="AD389" s="92"/>
      <c r="AE389" s="92"/>
    </row>
    <row r="390" spans="1:31" ht="12.75" customHeight="1">
      <c r="A390" s="92" t="s">
        <v>892</v>
      </c>
      <c r="B390" s="92" t="s">
        <v>50</v>
      </c>
      <c r="C390" s="92" t="s">
        <v>922</v>
      </c>
      <c r="D390" s="92"/>
      <c r="E390" s="204">
        <v>9930990</v>
      </c>
      <c r="F390" s="92" t="s">
        <v>49</v>
      </c>
      <c r="G390" s="263">
        <v>18713343</v>
      </c>
      <c r="H390" s="156" t="s">
        <v>772</v>
      </c>
      <c r="I390" s="263">
        <v>9</v>
      </c>
      <c r="J390" s="263">
        <v>21</v>
      </c>
      <c r="K390" s="265">
        <v>538000</v>
      </c>
      <c r="L390" s="100">
        <v>44469</v>
      </c>
      <c r="M390" s="100">
        <v>44469</v>
      </c>
      <c r="N390" s="100">
        <v>44439</v>
      </c>
      <c r="O390" s="92" t="s">
        <v>2268</v>
      </c>
      <c r="P390" s="92" t="s">
        <v>2269</v>
      </c>
      <c r="Q390" s="92"/>
      <c r="R390" s="92" t="s">
        <v>773</v>
      </c>
      <c r="S390" s="92"/>
      <c r="T390" s="92" t="s">
        <v>2354</v>
      </c>
      <c r="U390" s="92">
        <v>0</v>
      </c>
      <c r="V390" s="92" t="s">
        <v>606</v>
      </c>
      <c r="W390" s="92" t="s">
        <v>770</v>
      </c>
      <c r="X390" s="92" t="s">
        <v>2254</v>
      </c>
      <c r="Y390" s="92" t="s">
        <v>1305</v>
      </c>
      <c r="Z390" s="92" t="s">
        <v>925</v>
      </c>
      <c r="AA390" s="92" t="s">
        <v>2189</v>
      </c>
      <c r="AB390" s="92"/>
      <c r="AC390" s="92"/>
      <c r="AD390" s="92"/>
      <c r="AE390" s="92"/>
    </row>
    <row r="391" spans="1:31" ht="12.75" customHeight="1">
      <c r="A391" s="92" t="s">
        <v>892</v>
      </c>
      <c r="B391" s="92" t="s">
        <v>50</v>
      </c>
      <c r="C391" s="92" t="s">
        <v>922</v>
      </c>
      <c r="D391" s="92"/>
      <c r="E391" s="204">
        <v>9932873</v>
      </c>
      <c r="F391" s="92" t="s">
        <v>49</v>
      </c>
      <c r="G391" s="263">
        <v>18713688</v>
      </c>
      <c r="H391" s="156" t="s">
        <v>772</v>
      </c>
      <c r="I391" s="263">
        <v>9</v>
      </c>
      <c r="J391" s="263">
        <v>21</v>
      </c>
      <c r="K391" s="265">
        <v>-60000</v>
      </c>
      <c r="L391" s="100">
        <v>44469</v>
      </c>
      <c r="M391" s="100">
        <v>44469</v>
      </c>
      <c r="N391" s="100">
        <v>44441</v>
      </c>
      <c r="O391" s="92" t="s">
        <v>2183</v>
      </c>
      <c r="P391" s="92" t="s">
        <v>2216</v>
      </c>
      <c r="Q391" s="92"/>
      <c r="R391" s="92" t="s">
        <v>957</v>
      </c>
      <c r="S391" s="92"/>
      <c r="T391" s="92" t="s">
        <v>2357</v>
      </c>
      <c r="U391" s="92">
        <v>0</v>
      </c>
      <c r="V391" s="92" t="s">
        <v>606</v>
      </c>
      <c r="W391" s="92" t="s">
        <v>770</v>
      </c>
      <c r="X391" s="92" t="s">
        <v>1041</v>
      </c>
      <c r="Y391" s="92" t="s">
        <v>1891</v>
      </c>
      <c r="Z391" s="92" t="s">
        <v>925</v>
      </c>
      <c r="AA391" s="92" t="s">
        <v>1946</v>
      </c>
      <c r="AB391" s="92"/>
      <c r="AC391" s="92"/>
      <c r="AD391" s="92"/>
      <c r="AE391" s="92"/>
    </row>
    <row r="392" spans="1:31" ht="12.75" customHeight="1">
      <c r="A392" s="92" t="s">
        <v>892</v>
      </c>
      <c r="B392" s="92" t="s">
        <v>50</v>
      </c>
      <c r="C392" s="92" t="s">
        <v>922</v>
      </c>
      <c r="D392" s="92"/>
      <c r="E392" s="204">
        <v>9932913</v>
      </c>
      <c r="F392" s="92" t="s">
        <v>49</v>
      </c>
      <c r="G392" s="263">
        <v>18713697</v>
      </c>
      <c r="H392" s="156" t="s">
        <v>772</v>
      </c>
      <c r="I392" s="263">
        <v>9</v>
      </c>
      <c r="J392" s="263">
        <v>21</v>
      </c>
      <c r="K392" s="265">
        <v>60000</v>
      </c>
      <c r="L392" s="100">
        <v>44469</v>
      </c>
      <c r="M392" s="100">
        <v>44469</v>
      </c>
      <c r="N392" s="100">
        <v>44441</v>
      </c>
      <c r="O392" s="92" t="s">
        <v>2183</v>
      </c>
      <c r="P392" s="92" t="s">
        <v>2217</v>
      </c>
      <c r="Q392" s="92"/>
      <c r="R392" s="92" t="s">
        <v>957</v>
      </c>
      <c r="S392" s="92"/>
      <c r="T392" s="92" t="s">
        <v>2357</v>
      </c>
      <c r="U392" s="92">
        <v>0</v>
      </c>
      <c r="V392" s="92" t="s">
        <v>606</v>
      </c>
      <c r="W392" s="92" t="s">
        <v>770</v>
      </c>
      <c r="X392" s="92" t="s">
        <v>1041</v>
      </c>
      <c r="Y392" s="92" t="s">
        <v>778</v>
      </c>
      <c r="Z392" s="92" t="s">
        <v>925</v>
      </c>
      <c r="AA392" s="92" t="s">
        <v>1946</v>
      </c>
      <c r="AB392" s="92"/>
      <c r="AC392" s="92"/>
      <c r="AD392" s="92"/>
      <c r="AE392" s="92"/>
    </row>
    <row r="393" spans="1:31" ht="12.75" customHeight="1">
      <c r="A393" s="92" t="s">
        <v>892</v>
      </c>
      <c r="B393" s="92" t="s">
        <v>1001</v>
      </c>
      <c r="C393" s="92" t="s">
        <v>922</v>
      </c>
      <c r="D393" s="92"/>
      <c r="E393" s="204">
        <v>9930389</v>
      </c>
      <c r="F393" s="92" t="s">
        <v>49</v>
      </c>
      <c r="G393" s="263">
        <v>18713147</v>
      </c>
      <c r="H393" s="156" t="s">
        <v>772</v>
      </c>
      <c r="I393" s="263">
        <v>9</v>
      </c>
      <c r="J393" s="263">
        <v>21</v>
      </c>
      <c r="K393" s="265">
        <v>-175000</v>
      </c>
      <c r="L393" s="100">
        <v>44469</v>
      </c>
      <c r="M393" s="100">
        <v>44469</v>
      </c>
      <c r="N393" s="100">
        <v>44438</v>
      </c>
      <c r="O393" s="92" t="s">
        <v>2270</v>
      </c>
      <c r="P393" s="92" t="s">
        <v>2271</v>
      </c>
      <c r="Q393" s="92"/>
      <c r="R393" s="92"/>
      <c r="S393" s="92"/>
      <c r="T393" s="92" t="s">
        <v>2358</v>
      </c>
      <c r="U393" s="92">
        <v>0</v>
      </c>
      <c r="V393" s="92" t="s">
        <v>606</v>
      </c>
      <c r="W393" s="92" t="s">
        <v>770</v>
      </c>
      <c r="X393" s="92" t="s">
        <v>2272</v>
      </c>
      <c r="Y393" s="92" t="s">
        <v>1305</v>
      </c>
      <c r="Z393" s="92" t="s">
        <v>1002</v>
      </c>
      <c r="AA393" s="92" t="s">
        <v>2176</v>
      </c>
      <c r="AB393" s="92"/>
      <c r="AC393" s="92"/>
      <c r="AD393" s="92"/>
      <c r="AE393" s="92"/>
    </row>
    <row r="394" spans="1:31" ht="12.75" customHeight="1">
      <c r="A394" s="92" t="s">
        <v>892</v>
      </c>
      <c r="B394" s="92" t="s">
        <v>52</v>
      </c>
      <c r="C394" s="92" t="s">
        <v>922</v>
      </c>
      <c r="D394" s="92"/>
      <c r="E394" s="204">
        <v>9929357</v>
      </c>
      <c r="F394" s="92" t="s">
        <v>49</v>
      </c>
      <c r="G394" s="263">
        <v>18603705</v>
      </c>
      <c r="H394" s="156" t="s">
        <v>772</v>
      </c>
      <c r="I394" s="263">
        <v>9</v>
      </c>
      <c r="J394" s="263">
        <v>21</v>
      </c>
      <c r="K394" s="265">
        <v>-214880</v>
      </c>
      <c r="L394" s="100">
        <v>44440</v>
      </c>
      <c r="M394" s="100">
        <v>44440</v>
      </c>
      <c r="N394" s="100">
        <v>44434</v>
      </c>
      <c r="O394" s="92" t="s">
        <v>2273</v>
      </c>
      <c r="P394" s="92" t="s">
        <v>2274</v>
      </c>
      <c r="Q394" s="92"/>
      <c r="R394" s="92"/>
      <c r="S394" s="92"/>
      <c r="T394" s="92" t="s">
        <v>2359</v>
      </c>
      <c r="U394" s="92">
        <v>0</v>
      </c>
      <c r="V394" s="92" t="s">
        <v>606</v>
      </c>
      <c r="W394" s="92" t="s">
        <v>770</v>
      </c>
      <c r="X394" s="92" t="s">
        <v>1014</v>
      </c>
      <c r="Y394" s="92" t="s">
        <v>778</v>
      </c>
      <c r="Z394" s="92" t="s">
        <v>782</v>
      </c>
      <c r="AA394" s="92" t="s">
        <v>1954</v>
      </c>
      <c r="AB394" s="92"/>
      <c r="AC394" s="92"/>
      <c r="AD394" s="92"/>
      <c r="AE394" s="92"/>
    </row>
    <row r="395" spans="1:31" ht="12.75" customHeight="1">
      <c r="A395" s="92" t="s">
        <v>892</v>
      </c>
      <c r="B395" s="92" t="s">
        <v>52</v>
      </c>
      <c r="C395" s="92" t="s">
        <v>922</v>
      </c>
      <c r="D395" s="92"/>
      <c r="E395" s="204">
        <v>9929513</v>
      </c>
      <c r="F395" s="92" t="s">
        <v>49</v>
      </c>
      <c r="G395" s="263">
        <v>18603755</v>
      </c>
      <c r="H395" s="156" t="s">
        <v>772</v>
      </c>
      <c r="I395" s="263">
        <v>9</v>
      </c>
      <c r="J395" s="263">
        <v>21</v>
      </c>
      <c r="K395" s="265">
        <v>-295400</v>
      </c>
      <c r="L395" s="100">
        <v>44440</v>
      </c>
      <c r="M395" s="100">
        <v>44440</v>
      </c>
      <c r="N395" s="100">
        <v>44435</v>
      </c>
      <c r="O395" s="92" t="s">
        <v>2275</v>
      </c>
      <c r="P395" s="92" t="s">
        <v>2275</v>
      </c>
      <c r="Q395" s="92"/>
      <c r="R395" s="92"/>
      <c r="S395" s="92"/>
      <c r="T395" s="92" t="s">
        <v>2360</v>
      </c>
      <c r="U395" s="92">
        <v>0</v>
      </c>
      <c r="V395" s="92" t="s">
        <v>606</v>
      </c>
      <c r="W395" s="92" t="s">
        <v>770</v>
      </c>
      <c r="X395" s="92" t="s">
        <v>1014</v>
      </c>
      <c r="Y395" s="92" t="s">
        <v>778</v>
      </c>
      <c r="Z395" s="92" t="s">
        <v>782</v>
      </c>
      <c r="AA395" s="92" t="s">
        <v>2166</v>
      </c>
      <c r="AB395" s="92"/>
      <c r="AC395" s="92"/>
      <c r="AD395" s="92"/>
      <c r="AE395" s="92"/>
    </row>
    <row r="396" spans="1:31" ht="12.75" customHeight="1">
      <c r="A396" s="92" t="s">
        <v>892</v>
      </c>
      <c r="B396" s="92" t="s">
        <v>52</v>
      </c>
      <c r="C396" s="92" t="s">
        <v>922</v>
      </c>
      <c r="D396" s="92"/>
      <c r="E396" s="204">
        <v>9929533</v>
      </c>
      <c r="F396" s="92" t="s">
        <v>49</v>
      </c>
      <c r="G396" s="263">
        <v>18603760</v>
      </c>
      <c r="H396" s="156" t="s">
        <v>772</v>
      </c>
      <c r="I396" s="263">
        <v>9</v>
      </c>
      <c r="J396" s="263">
        <v>21</v>
      </c>
      <c r="K396" s="265">
        <v>-6000</v>
      </c>
      <c r="L396" s="100">
        <v>44440</v>
      </c>
      <c r="M396" s="100">
        <v>44440</v>
      </c>
      <c r="N396" s="100">
        <v>44435</v>
      </c>
      <c r="O396" s="92" t="s">
        <v>2276</v>
      </c>
      <c r="P396" s="92" t="s">
        <v>2277</v>
      </c>
      <c r="Q396" s="92"/>
      <c r="R396" s="92"/>
      <c r="S396" s="92"/>
      <c r="T396" s="92" t="s">
        <v>2361</v>
      </c>
      <c r="U396" s="92">
        <v>0</v>
      </c>
      <c r="V396" s="92" t="s">
        <v>606</v>
      </c>
      <c r="W396" s="92" t="s">
        <v>770</v>
      </c>
      <c r="X396" s="92" t="s">
        <v>1014</v>
      </c>
      <c r="Y396" s="92" t="s">
        <v>778</v>
      </c>
      <c r="Z396" s="92" t="s">
        <v>782</v>
      </c>
      <c r="AA396" s="92" t="s">
        <v>2170</v>
      </c>
      <c r="AB396" s="92"/>
      <c r="AC396" s="92"/>
      <c r="AD396" s="92"/>
      <c r="AE396" s="92"/>
    </row>
    <row r="397" spans="1:31" ht="12.75" customHeight="1">
      <c r="A397" s="92" t="s">
        <v>892</v>
      </c>
      <c r="B397" s="92" t="s">
        <v>52</v>
      </c>
      <c r="C397" s="92" t="s">
        <v>922</v>
      </c>
      <c r="D397" s="92"/>
      <c r="E397" s="204">
        <v>9929973</v>
      </c>
      <c r="F397" s="92" t="s">
        <v>49</v>
      </c>
      <c r="G397" s="263">
        <v>18712704</v>
      </c>
      <c r="H397" s="156" t="s">
        <v>772</v>
      </c>
      <c r="I397" s="263">
        <v>9</v>
      </c>
      <c r="J397" s="263">
        <v>21</v>
      </c>
      <c r="K397" s="265">
        <v>-295400</v>
      </c>
      <c r="L397" s="100">
        <v>44440</v>
      </c>
      <c r="M397" s="100">
        <v>44440</v>
      </c>
      <c r="N397" s="100">
        <v>44437</v>
      </c>
      <c r="O397" s="92" t="s">
        <v>2275</v>
      </c>
      <c r="P397" s="92" t="s">
        <v>2278</v>
      </c>
      <c r="Q397" s="92"/>
      <c r="R397" s="92"/>
      <c r="S397" s="92"/>
      <c r="T397" s="92" t="s">
        <v>2360</v>
      </c>
      <c r="U397" s="92">
        <v>0</v>
      </c>
      <c r="V397" s="92" t="s">
        <v>606</v>
      </c>
      <c r="W397" s="92" t="s">
        <v>770</v>
      </c>
      <c r="X397" s="92" t="s">
        <v>1014</v>
      </c>
      <c r="Y397" s="92" t="s">
        <v>778</v>
      </c>
      <c r="Z397" s="92" t="s">
        <v>782</v>
      </c>
      <c r="AA397" s="92" t="s">
        <v>2166</v>
      </c>
      <c r="AB397" s="92"/>
      <c r="AC397" s="92"/>
      <c r="AD397" s="92"/>
      <c r="AE397" s="92"/>
    </row>
    <row r="398" spans="1:31" ht="12.75" customHeight="1">
      <c r="A398" s="92" t="s">
        <v>892</v>
      </c>
      <c r="B398" s="92" t="s">
        <v>62</v>
      </c>
      <c r="C398" s="92" t="s">
        <v>922</v>
      </c>
      <c r="D398" s="92"/>
      <c r="E398" s="204">
        <v>9934569</v>
      </c>
      <c r="F398" s="92" t="s">
        <v>768</v>
      </c>
      <c r="G398" s="263">
        <v>1405897</v>
      </c>
      <c r="H398" s="156" t="s">
        <v>769</v>
      </c>
      <c r="I398" s="263">
        <v>9</v>
      </c>
      <c r="J398" s="263">
        <v>21</v>
      </c>
      <c r="K398" s="265">
        <v>11000</v>
      </c>
      <c r="L398" s="100">
        <v>44409</v>
      </c>
      <c r="M398" s="100">
        <v>44448</v>
      </c>
      <c r="N398" s="100">
        <v>44448</v>
      </c>
      <c r="O398" s="92" t="s">
        <v>2279</v>
      </c>
      <c r="P398" s="92" t="s">
        <v>2280</v>
      </c>
      <c r="Q398" s="92"/>
      <c r="R398" s="92"/>
      <c r="S398" s="92"/>
      <c r="T398" s="92" t="s">
        <v>2362</v>
      </c>
      <c r="U398" s="92" t="s">
        <v>2363</v>
      </c>
      <c r="V398" s="92" t="s">
        <v>606</v>
      </c>
      <c r="W398" s="92" t="s">
        <v>770</v>
      </c>
      <c r="X398" s="92" t="s">
        <v>1236</v>
      </c>
      <c r="Y398" s="92" t="s">
        <v>778</v>
      </c>
      <c r="Z398" s="92" t="s">
        <v>914</v>
      </c>
      <c r="AA398" s="92" t="s">
        <v>2282</v>
      </c>
      <c r="AB398" s="92"/>
      <c r="AC398" s="92"/>
      <c r="AD398" s="92"/>
      <c r="AE398" s="92" t="s">
        <v>2281</v>
      </c>
    </row>
    <row r="399" spans="1:31" ht="12.75" customHeight="1">
      <c r="A399" s="92" t="s">
        <v>892</v>
      </c>
      <c r="B399" s="92" t="s">
        <v>62</v>
      </c>
      <c r="C399" s="92" t="s">
        <v>922</v>
      </c>
      <c r="D399" s="92"/>
      <c r="E399" s="204">
        <v>9929372</v>
      </c>
      <c r="F399" s="92" t="s">
        <v>49</v>
      </c>
      <c r="G399" s="263">
        <v>18603723</v>
      </c>
      <c r="H399" s="156" t="s">
        <v>772</v>
      </c>
      <c r="I399" s="263">
        <v>9</v>
      </c>
      <c r="J399" s="263">
        <v>21</v>
      </c>
      <c r="K399" s="265">
        <v>-1125000</v>
      </c>
      <c r="L399" s="100">
        <v>44469</v>
      </c>
      <c r="M399" s="100">
        <v>44469</v>
      </c>
      <c r="N399" s="100">
        <v>44434</v>
      </c>
      <c r="O399" s="92" t="s">
        <v>1834</v>
      </c>
      <c r="P399" s="92" t="s">
        <v>2224</v>
      </c>
      <c r="Q399" s="92"/>
      <c r="R399" s="92" t="s">
        <v>773</v>
      </c>
      <c r="S399" s="92"/>
      <c r="T399" s="92" t="s">
        <v>2364</v>
      </c>
      <c r="U399" s="92">
        <v>0</v>
      </c>
      <c r="V399" s="92" t="s">
        <v>606</v>
      </c>
      <c r="W399" s="92" t="s">
        <v>770</v>
      </c>
      <c r="X399" s="92" t="s">
        <v>1806</v>
      </c>
      <c r="Y399" s="92" t="s">
        <v>778</v>
      </c>
      <c r="Z399" s="92" t="s">
        <v>914</v>
      </c>
      <c r="AA399" s="92" t="s">
        <v>1843</v>
      </c>
      <c r="AB399" s="92"/>
      <c r="AC399" s="92"/>
      <c r="AD399" s="92"/>
      <c r="AE399" s="92"/>
    </row>
    <row r="400" spans="1:31" ht="12.75" customHeight="1">
      <c r="A400" s="92" t="s">
        <v>892</v>
      </c>
      <c r="B400" s="92" t="s">
        <v>62</v>
      </c>
      <c r="C400" s="92" t="s">
        <v>922</v>
      </c>
      <c r="D400" s="92"/>
      <c r="E400" s="204">
        <v>9929372</v>
      </c>
      <c r="F400" s="92" t="s">
        <v>49</v>
      </c>
      <c r="G400" s="263">
        <v>18603723</v>
      </c>
      <c r="H400" s="156" t="s">
        <v>772</v>
      </c>
      <c r="I400" s="263">
        <v>9</v>
      </c>
      <c r="J400" s="263">
        <v>21</v>
      </c>
      <c r="K400" s="265">
        <v>-637400</v>
      </c>
      <c r="L400" s="100">
        <v>44469</v>
      </c>
      <c r="M400" s="100">
        <v>44469</v>
      </c>
      <c r="N400" s="100">
        <v>44434</v>
      </c>
      <c r="O400" s="92" t="s">
        <v>2283</v>
      </c>
      <c r="P400" s="92" t="s">
        <v>2224</v>
      </c>
      <c r="Q400" s="92"/>
      <c r="R400" s="92" t="s">
        <v>773</v>
      </c>
      <c r="S400" s="92"/>
      <c r="T400" s="92" t="s">
        <v>2365</v>
      </c>
      <c r="U400" s="92">
        <v>0</v>
      </c>
      <c r="V400" s="92" t="s">
        <v>606</v>
      </c>
      <c r="W400" s="92" t="s">
        <v>770</v>
      </c>
      <c r="X400" s="92" t="s">
        <v>1806</v>
      </c>
      <c r="Y400" s="92" t="s">
        <v>778</v>
      </c>
      <c r="Z400" s="92" t="s">
        <v>914</v>
      </c>
      <c r="AA400" s="92" t="s">
        <v>2142</v>
      </c>
      <c r="AB400" s="92"/>
      <c r="AC400" s="92"/>
      <c r="AD400" s="92"/>
      <c r="AE400" s="92"/>
    </row>
    <row r="401" spans="1:31" ht="12.75" customHeight="1">
      <c r="A401" s="92" t="s">
        <v>892</v>
      </c>
      <c r="B401" s="92" t="s">
        <v>62</v>
      </c>
      <c r="C401" s="92" t="s">
        <v>922</v>
      </c>
      <c r="D401" s="92"/>
      <c r="E401" s="204">
        <v>9929393</v>
      </c>
      <c r="F401" s="92" t="s">
        <v>49</v>
      </c>
      <c r="G401" s="263">
        <v>18603741</v>
      </c>
      <c r="H401" s="156" t="s">
        <v>772</v>
      </c>
      <c r="I401" s="263">
        <v>9</v>
      </c>
      <c r="J401" s="263">
        <v>21</v>
      </c>
      <c r="K401" s="265">
        <v>-11000</v>
      </c>
      <c r="L401" s="100">
        <v>44469</v>
      </c>
      <c r="M401" s="100">
        <v>44469</v>
      </c>
      <c r="N401" s="100">
        <v>44435</v>
      </c>
      <c r="O401" s="92" t="s">
        <v>2284</v>
      </c>
      <c r="P401" s="92" t="s">
        <v>2285</v>
      </c>
      <c r="Q401" s="92"/>
      <c r="R401" s="92" t="s">
        <v>773</v>
      </c>
      <c r="S401" s="92"/>
      <c r="T401" s="92" t="s">
        <v>2362</v>
      </c>
      <c r="U401" s="92">
        <v>0</v>
      </c>
      <c r="V401" s="92" t="s">
        <v>606</v>
      </c>
      <c r="W401" s="92" t="s">
        <v>770</v>
      </c>
      <c r="X401" s="92" t="s">
        <v>1806</v>
      </c>
      <c r="Y401" s="92" t="s">
        <v>778</v>
      </c>
      <c r="Z401" s="92" t="s">
        <v>914</v>
      </c>
      <c r="AA401" s="92" t="s">
        <v>2282</v>
      </c>
      <c r="AB401" s="92"/>
      <c r="AC401" s="92"/>
      <c r="AD401" s="92"/>
      <c r="AE401" s="92"/>
    </row>
    <row r="402" spans="1:31" ht="12.75" customHeight="1">
      <c r="A402" s="92" t="s">
        <v>892</v>
      </c>
      <c r="B402" s="92" t="s">
        <v>62</v>
      </c>
      <c r="C402" s="92" t="s">
        <v>922</v>
      </c>
      <c r="D402" s="92"/>
      <c r="E402" s="204">
        <v>9929393</v>
      </c>
      <c r="F402" s="92" t="s">
        <v>49</v>
      </c>
      <c r="G402" s="263">
        <v>18603741</v>
      </c>
      <c r="H402" s="156" t="s">
        <v>772</v>
      </c>
      <c r="I402" s="263">
        <v>9</v>
      </c>
      <c r="J402" s="263">
        <v>21</v>
      </c>
      <c r="K402" s="265">
        <v>-5000</v>
      </c>
      <c r="L402" s="100">
        <v>44469</v>
      </c>
      <c r="M402" s="100">
        <v>44469</v>
      </c>
      <c r="N402" s="100">
        <v>44435</v>
      </c>
      <c r="O402" s="92" t="s">
        <v>2286</v>
      </c>
      <c r="P402" s="92" t="s">
        <v>2285</v>
      </c>
      <c r="Q402" s="92"/>
      <c r="R402" s="92" t="s">
        <v>773</v>
      </c>
      <c r="S402" s="92"/>
      <c r="T402" s="92" t="s">
        <v>2366</v>
      </c>
      <c r="U402" s="92">
        <v>0</v>
      </c>
      <c r="V402" s="92" t="s">
        <v>606</v>
      </c>
      <c r="W402" s="92" t="s">
        <v>770</v>
      </c>
      <c r="X402" s="92" t="s">
        <v>1806</v>
      </c>
      <c r="Y402" s="92" t="s">
        <v>778</v>
      </c>
      <c r="Z402" s="92" t="s">
        <v>914</v>
      </c>
      <c r="AA402" s="92" t="s">
        <v>2287</v>
      </c>
      <c r="AB402" s="92"/>
      <c r="AC402" s="92"/>
      <c r="AD402" s="92"/>
      <c r="AE402" s="92"/>
    </row>
    <row r="403" spans="1:31" ht="12.75" customHeight="1">
      <c r="A403" s="92" t="s">
        <v>892</v>
      </c>
      <c r="B403" s="92" t="s">
        <v>727</v>
      </c>
      <c r="C403" s="92" t="s">
        <v>922</v>
      </c>
      <c r="D403" s="92"/>
      <c r="E403" s="204">
        <v>9934829</v>
      </c>
      <c r="F403" s="92" t="s">
        <v>768</v>
      </c>
      <c r="G403" s="263">
        <v>1406160</v>
      </c>
      <c r="H403" s="156" t="s">
        <v>769</v>
      </c>
      <c r="I403" s="263">
        <v>9</v>
      </c>
      <c r="J403" s="263">
        <v>21</v>
      </c>
      <c r="K403" s="265">
        <v>60000</v>
      </c>
      <c r="L403" s="100">
        <v>44021</v>
      </c>
      <c r="M403" s="100">
        <v>44448</v>
      </c>
      <c r="N403" s="100">
        <v>44448</v>
      </c>
      <c r="O403" s="92" t="s">
        <v>2288</v>
      </c>
      <c r="P403" s="92" t="s">
        <v>1139</v>
      </c>
      <c r="Q403" s="92"/>
      <c r="R403" s="92"/>
      <c r="S403" s="92"/>
      <c r="T403" s="92" t="s">
        <v>1140</v>
      </c>
      <c r="U403" s="92" t="s">
        <v>1286</v>
      </c>
      <c r="V403" s="92" t="s">
        <v>606</v>
      </c>
      <c r="W403" s="92" t="s">
        <v>770</v>
      </c>
      <c r="X403" s="92" t="s">
        <v>1236</v>
      </c>
      <c r="Y403" s="92" t="s">
        <v>778</v>
      </c>
      <c r="Z403" s="92" t="s">
        <v>928</v>
      </c>
      <c r="AA403" s="92" t="s">
        <v>1141</v>
      </c>
      <c r="AB403" s="92"/>
      <c r="AC403" s="92"/>
      <c r="AD403" s="92" t="s">
        <v>768</v>
      </c>
      <c r="AE403" s="92" t="s">
        <v>2289</v>
      </c>
    </row>
    <row r="404" spans="1:31" ht="12.75" customHeight="1">
      <c r="A404" s="92" t="s">
        <v>892</v>
      </c>
      <c r="B404" s="92" t="s">
        <v>727</v>
      </c>
      <c r="C404" s="92" t="s">
        <v>922</v>
      </c>
      <c r="D404" s="92"/>
      <c r="E404" s="204">
        <v>9934829</v>
      </c>
      <c r="F404" s="92" t="s">
        <v>768</v>
      </c>
      <c r="G404" s="263">
        <v>1406160</v>
      </c>
      <c r="H404" s="156" t="s">
        <v>769</v>
      </c>
      <c r="I404" s="263">
        <v>9</v>
      </c>
      <c r="J404" s="263">
        <v>21</v>
      </c>
      <c r="K404" s="265">
        <v>-59999.99</v>
      </c>
      <c r="L404" s="100">
        <v>44021</v>
      </c>
      <c r="M404" s="100">
        <v>44448</v>
      </c>
      <c r="N404" s="100">
        <v>44448</v>
      </c>
      <c r="O404" s="92" t="s">
        <v>926</v>
      </c>
      <c r="P404" s="92" t="s">
        <v>1139</v>
      </c>
      <c r="Q404" s="92"/>
      <c r="R404" s="92"/>
      <c r="S404" s="92"/>
      <c r="T404" s="92" t="s">
        <v>1140</v>
      </c>
      <c r="U404" s="92" t="s">
        <v>1286</v>
      </c>
      <c r="V404" s="92" t="s">
        <v>606</v>
      </c>
      <c r="W404" s="92" t="s">
        <v>770</v>
      </c>
      <c r="X404" s="92" t="s">
        <v>1236</v>
      </c>
      <c r="Y404" s="92" t="s">
        <v>778</v>
      </c>
      <c r="Z404" s="92" t="s">
        <v>928</v>
      </c>
      <c r="AA404" s="92" t="s">
        <v>1141</v>
      </c>
      <c r="AB404" s="92"/>
      <c r="AC404" s="92"/>
      <c r="AD404" s="92" t="s">
        <v>768</v>
      </c>
      <c r="AE404" s="92" t="s">
        <v>2289</v>
      </c>
    </row>
    <row r="405" spans="1:31" ht="12.75" customHeight="1">
      <c r="A405" s="92" t="s">
        <v>892</v>
      </c>
      <c r="B405" s="92" t="s">
        <v>727</v>
      </c>
      <c r="C405" s="92" t="s">
        <v>922</v>
      </c>
      <c r="D405" s="92"/>
      <c r="E405" s="204">
        <v>9936713</v>
      </c>
      <c r="F405" s="92" t="s">
        <v>768</v>
      </c>
      <c r="G405" s="263">
        <v>1407421</v>
      </c>
      <c r="H405" s="156" t="s">
        <v>769</v>
      </c>
      <c r="I405" s="263">
        <v>9</v>
      </c>
      <c r="J405" s="263">
        <v>21</v>
      </c>
      <c r="K405" s="265">
        <v>80000</v>
      </c>
      <c r="L405" s="100">
        <v>44447</v>
      </c>
      <c r="M405" s="100">
        <v>44449</v>
      </c>
      <c r="N405" s="100">
        <v>44449</v>
      </c>
      <c r="O405" s="92" t="s">
        <v>2290</v>
      </c>
      <c r="P405" s="92" t="s">
        <v>817</v>
      </c>
      <c r="Q405" s="92"/>
      <c r="R405" s="92"/>
      <c r="S405" s="92"/>
      <c r="T405" s="92" t="s">
        <v>2367</v>
      </c>
      <c r="U405" s="92" t="s">
        <v>2368</v>
      </c>
      <c r="V405" s="92" t="s">
        <v>606</v>
      </c>
      <c r="W405" s="92" t="s">
        <v>770</v>
      </c>
      <c r="X405" s="92" t="s">
        <v>1236</v>
      </c>
      <c r="Y405" s="92" t="s">
        <v>778</v>
      </c>
      <c r="Z405" s="92" t="s">
        <v>928</v>
      </c>
      <c r="AA405" s="92" t="s">
        <v>2292</v>
      </c>
      <c r="AB405" s="92"/>
      <c r="AC405" s="92"/>
      <c r="AD405" s="92"/>
      <c r="AE405" s="92" t="s">
        <v>2291</v>
      </c>
    </row>
    <row r="406" spans="1:31" ht="12.75" customHeight="1">
      <c r="A406" s="92" t="s">
        <v>892</v>
      </c>
      <c r="B406" s="92" t="s">
        <v>727</v>
      </c>
      <c r="C406" s="92" t="s">
        <v>922</v>
      </c>
      <c r="D406" s="92"/>
      <c r="E406" s="204">
        <v>9934829</v>
      </c>
      <c r="F406" s="92" t="s">
        <v>768</v>
      </c>
      <c r="G406" s="263">
        <v>1406160</v>
      </c>
      <c r="H406" s="156" t="s">
        <v>769</v>
      </c>
      <c r="I406" s="263">
        <v>9</v>
      </c>
      <c r="J406" s="263">
        <v>21</v>
      </c>
      <c r="K406" s="265">
        <v>-60000</v>
      </c>
      <c r="L406" s="100">
        <v>44021</v>
      </c>
      <c r="M406" s="100">
        <v>44459</v>
      </c>
      <c r="N406" s="100">
        <v>44448</v>
      </c>
      <c r="O406" s="92" t="s">
        <v>2288</v>
      </c>
      <c r="P406" s="92" t="s">
        <v>1139</v>
      </c>
      <c r="Q406" s="92"/>
      <c r="R406" s="92"/>
      <c r="S406" s="92"/>
      <c r="T406" s="92" t="s">
        <v>1140</v>
      </c>
      <c r="U406" s="92" t="s">
        <v>1286</v>
      </c>
      <c r="V406" s="92" t="s">
        <v>606</v>
      </c>
      <c r="W406" s="92" t="s">
        <v>770</v>
      </c>
      <c r="X406" s="92" t="s">
        <v>1236</v>
      </c>
      <c r="Y406" s="92" t="s">
        <v>1433</v>
      </c>
      <c r="Z406" s="92" t="s">
        <v>928</v>
      </c>
      <c r="AA406" s="92" t="s">
        <v>1141</v>
      </c>
      <c r="AB406" s="92"/>
      <c r="AC406" s="92"/>
      <c r="AD406" s="92" t="s">
        <v>768</v>
      </c>
      <c r="AE406" s="92" t="s">
        <v>2289</v>
      </c>
    </row>
    <row r="407" spans="1:31" ht="12.75" customHeight="1">
      <c r="A407" s="92" t="s">
        <v>892</v>
      </c>
      <c r="B407" s="92" t="s">
        <v>727</v>
      </c>
      <c r="C407" s="92" t="s">
        <v>922</v>
      </c>
      <c r="D407" s="92"/>
      <c r="E407" s="204">
        <v>9934829</v>
      </c>
      <c r="F407" s="92" t="s">
        <v>768</v>
      </c>
      <c r="G407" s="263">
        <v>1406160</v>
      </c>
      <c r="H407" s="156" t="s">
        <v>769</v>
      </c>
      <c r="I407" s="263">
        <v>9</v>
      </c>
      <c r="J407" s="263">
        <v>21</v>
      </c>
      <c r="K407" s="265">
        <v>59999.99</v>
      </c>
      <c r="L407" s="100">
        <v>44021</v>
      </c>
      <c r="M407" s="100">
        <v>44459</v>
      </c>
      <c r="N407" s="100">
        <v>44448</v>
      </c>
      <c r="O407" s="92" t="s">
        <v>926</v>
      </c>
      <c r="P407" s="92" t="s">
        <v>1139</v>
      </c>
      <c r="Q407" s="92"/>
      <c r="R407" s="92"/>
      <c r="S407" s="92"/>
      <c r="T407" s="92" t="s">
        <v>1140</v>
      </c>
      <c r="U407" s="92" t="s">
        <v>1286</v>
      </c>
      <c r="V407" s="92" t="s">
        <v>606</v>
      </c>
      <c r="W407" s="92" t="s">
        <v>770</v>
      </c>
      <c r="X407" s="92" t="s">
        <v>1236</v>
      </c>
      <c r="Y407" s="92" t="s">
        <v>1433</v>
      </c>
      <c r="Z407" s="92" t="s">
        <v>928</v>
      </c>
      <c r="AA407" s="92" t="s">
        <v>1141</v>
      </c>
      <c r="AB407" s="92"/>
      <c r="AC407" s="92"/>
      <c r="AD407" s="92" t="s">
        <v>768</v>
      </c>
      <c r="AE407" s="92" t="s">
        <v>2289</v>
      </c>
    </row>
    <row r="408" spans="1:31" ht="12.75" customHeight="1">
      <c r="A408" s="92" t="s">
        <v>892</v>
      </c>
      <c r="B408" s="92" t="s">
        <v>727</v>
      </c>
      <c r="C408" s="92" t="s">
        <v>922</v>
      </c>
      <c r="D408" s="92"/>
      <c r="E408" s="204">
        <v>9929372</v>
      </c>
      <c r="F408" s="92" t="s">
        <v>49</v>
      </c>
      <c r="G408" s="263">
        <v>18603724</v>
      </c>
      <c r="H408" s="156" t="s">
        <v>772</v>
      </c>
      <c r="I408" s="263">
        <v>9</v>
      </c>
      <c r="J408" s="263">
        <v>21</v>
      </c>
      <c r="K408" s="265">
        <v>37500</v>
      </c>
      <c r="L408" s="100">
        <v>44469</v>
      </c>
      <c r="M408" s="100">
        <v>44469</v>
      </c>
      <c r="N408" s="100">
        <v>44434</v>
      </c>
      <c r="O408" s="92" t="s">
        <v>2293</v>
      </c>
      <c r="P408" s="92" t="s">
        <v>2294</v>
      </c>
      <c r="Q408" s="92"/>
      <c r="R408" s="92" t="s">
        <v>773</v>
      </c>
      <c r="S408" s="92"/>
      <c r="T408" s="92" t="s">
        <v>1142</v>
      </c>
      <c r="U408" s="92">
        <v>0</v>
      </c>
      <c r="V408" s="92" t="s">
        <v>606</v>
      </c>
      <c r="W408" s="92" t="s">
        <v>770</v>
      </c>
      <c r="X408" s="92" t="s">
        <v>1806</v>
      </c>
      <c r="Y408" s="92" t="s">
        <v>778</v>
      </c>
      <c r="Z408" s="92" t="s">
        <v>928</v>
      </c>
      <c r="AA408" s="92" t="s">
        <v>1141</v>
      </c>
      <c r="AB408" s="92"/>
      <c r="AC408" s="92"/>
      <c r="AD408" s="92"/>
      <c r="AE408" s="92"/>
    </row>
    <row r="409" spans="1:31" ht="12.75" customHeight="1">
      <c r="A409" s="92" t="s">
        <v>620</v>
      </c>
      <c r="B409" s="92" t="s">
        <v>71</v>
      </c>
      <c r="C409" s="92" t="s">
        <v>922</v>
      </c>
      <c r="D409" s="92"/>
      <c r="E409" s="204">
        <v>9929085</v>
      </c>
      <c r="F409" s="92" t="s">
        <v>49</v>
      </c>
      <c r="G409" s="263">
        <v>18603558</v>
      </c>
      <c r="H409" s="156" t="s">
        <v>772</v>
      </c>
      <c r="I409" s="263">
        <v>9</v>
      </c>
      <c r="J409" s="263">
        <v>21</v>
      </c>
      <c r="K409" s="265">
        <v>-50000</v>
      </c>
      <c r="L409" s="100">
        <v>44469</v>
      </c>
      <c r="M409" s="100">
        <v>44469</v>
      </c>
      <c r="N409" s="100">
        <v>44434</v>
      </c>
      <c r="O409" s="92" t="s">
        <v>2295</v>
      </c>
      <c r="P409" s="92" t="s">
        <v>2296</v>
      </c>
      <c r="Q409" s="92"/>
      <c r="R409" s="92"/>
      <c r="S409" s="92"/>
      <c r="T409" s="92" t="s">
        <v>2369</v>
      </c>
      <c r="U409" s="92">
        <v>0</v>
      </c>
      <c r="V409" s="92" t="s">
        <v>606</v>
      </c>
      <c r="W409" s="92" t="s">
        <v>770</v>
      </c>
      <c r="X409" s="92" t="s">
        <v>1855</v>
      </c>
      <c r="Y409" s="92" t="s">
        <v>1281</v>
      </c>
      <c r="Z409" s="92" t="s">
        <v>910</v>
      </c>
      <c r="AA409" s="92" t="s">
        <v>2297</v>
      </c>
      <c r="AB409" s="92"/>
      <c r="AC409" s="92"/>
      <c r="AD409" s="92"/>
      <c r="AE409" s="92"/>
    </row>
    <row r="410" spans="1:31" ht="12.75" customHeight="1">
      <c r="A410" s="92" t="s">
        <v>620</v>
      </c>
      <c r="B410" s="92" t="s">
        <v>71</v>
      </c>
      <c r="C410" s="92" t="s">
        <v>922</v>
      </c>
      <c r="D410" s="92"/>
      <c r="E410" s="204">
        <v>9932873</v>
      </c>
      <c r="F410" s="92" t="s">
        <v>49</v>
      </c>
      <c r="G410" s="263">
        <v>18713688</v>
      </c>
      <c r="H410" s="156" t="s">
        <v>772</v>
      </c>
      <c r="I410" s="263">
        <v>9</v>
      </c>
      <c r="J410" s="263">
        <v>21</v>
      </c>
      <c r="K410" s="265">
        <v>-12000</v>
      </c>
      <c r="L410" s="100">
        <v>44469</v>
      </c>
      <c r="M410" s="100">
        <v>44469</v>
      </c>
      <c r="N410" s="100">
        <v>44441</v>
      </c>
      <c r="O410" s="92" t="s">
        <v>1220</v>
      </c>
      <c r="P410" s="92" t="s">
        <v>2216</v>
      </c>
      <c r="Q410" s="92"/>
      <c r="R410" s="92" t="s">
        <v>957</v>
      </c>
      <c r="S410" s="92"/>
      <c r="T410" s="92" t="s">
        <v>2370</v>
      </c>
      <c r="U410" s="92">
        <v>0</v>
      </c>
      <c r="V410" s="92" t="s">
        <v>606</v>
      </c>
      <c r="W410" s="92" t="s">
        <v>770</v>
      </c>
      <c r="X410" s="92" t="s">
        <v>1041</v>
      </c>
      <c r="Y410" s="92" t="s">
        <v>1891</v>
      </c>
      <c r="Z410" s="92" t="s">
        <v>910</v>
      </c>
      <c r="AA410" s="92" t="s">
        <v>1970</v>
      </c>
      <c r="AB410" s="92"/>
      <c r="AC410" s="92"/>
      <c r="AD410" s="92"/>
      <c r="AE410" s="92"/>
    </row>
    <row r="411" spans="1:31" ht="12.75" customHeight="1">
      <c r="A411" s="92" t="s">
        <v>620</v>
      </c>
      <c r="B411" s="92" t="s">
        <v>71</v>
      </c>
      <c r="C411" s="92" t="s">
        <v>922</v>
      </c>
      <c r="D411" s="92"/>
      <c r="E411" s="204">
        <v>9932913</v>
      </c>
      <c r="F411" s="92" t="s">
        <v>49</v>
      </c>
      <c r="G411" s="263">
        <v>18713697</v>
      </c>
      <c r="H411" s="156" t="s">
        <v>772</v>
      </c>
      <c r="I411" s="263">
        <v>9</v>
      </c>
      <c r="J411" s="263">
        <v>21</v>
      </c>
      <c r="K411" s="265">
        <v>12000</v>
      </c>
      <c r="L411" s="100">
        <v>44469</v>
      </c>
      <c r="M411" s="100">
        <v>44469</v>
      </c>
      <c r="N411" s="100">
        <v>44441</v>
      </c>
      <c r="O411" s="92" t="s">
        <v>1220</v>
      </c>
      <c r="P411" s="92" t="s">
        <v>2217</v>
      </c>
      <c r="Q411" s="92"/>
      <c r="R411" s="92" t="s">
        <v>957</v>
      </c>
      <c r="S411" s="92"/>
      <c r="T411" s="92" t="s">
        <v>2370</v>
      </c>
      <c r="U411" s="92">
        <v>0</v>
      </c>
      <c r="V411" s="92" t="s">
        <v>606</v>
      </c>
      <c r="W411" s="92" t="s">
        <v>770</v>
      </c>
      <c r="X411" s="92" t="s">
        <v>1041</v>
      </c>
      <c r="Y411" s="92" t="s">
        <v>778</v>
      </c>
      <c r="Z411" s="92" t="s">
        <v>910</v>
      </c>
      <c r="AA411" s="92" t="s">
        <v>1970</v>
      </c>
      <c r="AB411" s="92"/>
      <c r="AC411" s="92"/>
      <c r="AD411" s="92"/>
      <c r="AE411" s="92"/>
    </row>
    <row r="412" spans="1:31" ht="12.75" customHeight="1">
      <c r="A412" s="92" t="s">
        <v>620</v>
      </c>
      <c r="B412" s="92" t="s">
        <v>68</v>
      </c>
      <c r="C412" s="92" t="s">
        <v>922</v>
      </c>
      <c r="D412" s="92"/>
      <c r="E412" s="204">
        <v>9934071</v>
      </c>
      <c r="F412" s="92" t="s">
        <v>49</v>
      </c>
      <c r="G412" s="263">
        <v>18714210</v>
      </c>
      <c r="H412" s="156" t="s">
        <v>772</v>
      </c>
      <c r="I412" s="263">
        <v>9</v>
      </c>
      <c r="J412" s="263">
        <v>21</v>
      </c>
      <c r="K412" s="265">
        <v>100000</v>
      </c>
      <c r="L412" s="100">
        <v>44469</v>
      </c>
      <c r="M412" s="100">
        <v>44469</v>
      </c>
      <c r="N412" s="100">
        <v>44446</v>
      </c>
      <c r="O412" s="92" t="s">
        <v>2298</v>
      </c>
      <c r="P412" s="92" t="s">
        <v>2299</v>
      </c>
      <c r="Q412" s="92"/>
      <c r="R412" s="92"/>
      <c r="S412" s="92"/>
      <c r="T412" s="92" t="s">
        <v>2371</v>
      </c>
      <c r="U412" s="92">
        <v>0</v>
      </c>
      <c r="V412" s="92" t="s">
        <v>606</v>
      </c>
      <c r="W412" s="92" t="s">
        <v>770</v>
      </c>
      <c r="X412" s="92" t="s">
        <v>1346</v>
      </c>
      <c r="Y412" s="92" t="s">
        <v>1281</v>
      </c>
      <c r="Z412" s="92" t="s">
        <v>784</v>
      </c>
      <c r="AA412" s="92" t="s">
        <v>1860</v>
      </c>
      <c r="AB412" s="92"/>
      <c r="AC412" s="92"/>
      <c r="AD412" s="92"/>
      <c r="AE412" s="92"/>
    </row>
    <row r="413" spans="1:31" ht="12.75" customHeight="1">
      <c r="A413" s="92" t="s">
        <v>620</v>
      </c>
      <c r="B413" s="92" t="s">
        <v>57</v>
      </c>
      <c r="C413" s="92" t="s">
        <v>922</v>
      </c>
      <c r="D413" s="92"/>
      <c r="E413" s="204">
        <v>9942255</v>
      </c>
      <c r="F413" s="92" t="s">
        <v>768</v>
      </c>
      <c r="G413" s="263">
        <v>1408933</v>
      </c>
      <c r="H413" s="156" t="s">
        <v>769</v>
      </c>
      <c r="I413" s="263">
        <v>9</v>
      </c>
      <c r="J413" s="263">
        <v>21</v>
      </c>
      <c r="K413" s="265">
        <v>50000</v>
      </c>
      <c r="L413" s="100">
        <v>44444</v>
      </c>
      <c r="M413" s="100">
        <v>44463</v>
      </c>
      <c r="N413" s="100">
        <v>44463</v>
      </c>
      <c r="O413" s="92" t="s">
        <v>2372</v>
      </c>
      <c r="P413" s="92" t="s">
        <v>2373</v>
      </c>
      <c r="Q413" s="92"/>
      <c r="R413" s="92"/>
      <c r="S413" s="92"/>
      <c r="T413" s="92" t="s">
        <v>1295</v>
      </c>
      <c r="U413" s="92" t="s">
        <v>2374</v>
      </c>
      <c r="V413" s="92" t="s">
        <v>606</v>
      </c>
      <c r="W413" s="92" t="s">
        <v>770</v>
      </c>
      <c r="X413" s="92" t="s">
        <v>1236</v>
      </c>
      <c r="Y413" s="92" t="s">
        <v>778</v>
      </c>
      <c r="Z413" s="92" t="s">
        <v>932</v>
      </c>
      <c r="AA413" s="92" t="s">
        <v>1296</v>
      </c>
      <c r="AB413" s="92"/>
      <c r="AC413" s="92"/>
      <c r="AD413" s="92"/>
      <c r="AE413" s="92" t="s">
        <v>2375</v>
      </c>
    </row>
    <row r="414" spans="1:31" ht="12.75" customHeight="1">
      <c r="A414" s="92" t="s">
        <v>620</v>
      </c>
      <c r="B414" s="92" t="s">
        <v>57</v>
      </c>
      <c r="C414" s="92" t="s">
        <v>922</v>
      </c>
      <c r="D414" s="92"/>
      <c r="E414" s="204">
        <v>9927973</v>
      </c>
      <c r="F414" s="92" t="s">
        <v>49</v>
      </c>
      <c r="G414" s="263">
        <v>18430092</v>
      </c>
      <c r="H414" s="156" t="s">
        <v>772</v>
      </c>
      <c r="I414" s="263">
        <v>9</v>
      </c>
      <c r="J414" s="263">
        <v>21</v>
      </c>
      <c r="K414" s="265">
        <v>-150000</v>
      </c>
      <c r="L414" s="100">
        <v>44469</v>
      </c>
      <c r="M414" s="100">
        <v>44469</v>
      </c>
      <c r="N414" s="100">
        <v>44432</v>
      </c>
      <c r="O414" s="92" t="s">
        <v>2300</v>
      </c>
      <c r="P414" s="92" t="s">
        <v>2301</v>
      </c>
      <c r="Q414" s="92"/>
      <c r="R414" s="92"/>
      <c r="S414" s="92"/>
      <c r="T414" s="92" t="s">
        <v>2376</v>
      </c>
      <c r="U414" s="92">
        <v>0</v>
      </c>
      <c r="V414" s="92" t="s">
        <v>606</v>
      </c>
      <c r="W414" s="92" t="s">
        <v>770</v>
      </c>
      <c r="X414" s="92" t="s">
        <v>1772</v>
      </c>
      <c r="Y414" s="92" t="s">
        <v>778</v>
      </c>
      <c r="Z414" s="92" t="s">
        <v>932</v>
      </c>
      <c r="AA414" s="92" t="s">
        <v>2302</v>
      </c>
      <c r="AB414" s="92"/>
      <c r="AC414" s="92"/>
      <c r="AD414" s="92"/>
      <c r="AE414" s="92"/>
    </row>
    <row r="415" spans="1:31" ht="12.75" customHeight="1">
      <c r="A415" s="92" t="s">
        <v>620</v>
      </c>
      <c r="B415" s="92" t="s">
        <v>60</v>
      </c>
      <c r="C415" s="92" t="s">
        <v>922</v>
      </c>
      <c r="D415" s="92"/>
      <c r="E415" s="204">
        <v>9929348</v>
      </c>
      <c r="F415" s="92" t="s">
        <v>49</v>
      </c>
      <c r="G415" s="263">
        <v>18603701</v>
      </c>
      <c r="H415" s="156" t="s">
        <v>772</v>
      </c>
      <c r="I415" s="263">
        <v>9</v>
      </c>
      <c r="J415" s="263">
        <v>21</v>
      </c>
      <c r="K415" s="265">
        <v>-50000</v>
      </c>
      <c r="L415" s="100">
        <v>44469</v>
      </c>
      <c r="M415" s="100">
        <v>44469</v>
      </c>
      <c r="N415" s="100">
        <v>44434</v>
      </c>
      <c r="O415" s="92" t="s">
        <v>2303</v>
      </c>
      <c r="P415" s="92" t="s">
        <v>2304</v>
      </c>
      <c r="Q415" s="92"/>
      <c r="R415" s="92"/>
      <c r="S415" s="92"/>
      <c r="T415" s="92" t="s">
        <v>1211</v>
      </c>
      <c r="U415" s="92">
        <v>0</v>
      </c>
      <c r="V415" s="92" t="s">
        <v>606</v>
      </c>
      <c r="W415" s="92" t="s">
        <v>770</v>
      </c>
      <c r="X415" s="92" t="s">
        <v>1346</v>
      </c>
      <c r="Y415" s="92" t="s">
        <v>1281</v>
      </c>
      <c r="Z415" s="92" t="s">
        <v>913</v>
      </c>
      <c r="AA415" s="92" t="s">
        <v>1210</v>
      </c>
      <c r="AB415" s="92"/>
      <c r="AC415" s="92"/>
      <c r="AD415" s="92" t="s">
        <v>652</v>
      </c>
      <c r="AE415" s="92"/>
    </row>
    <row r="416" spans="1:31" ht="12.75" customHeight="1">
      <c r="A416" s="92" t="s">
        <v>620</v>
      </c>
      <c r="B416" s="92" t="s">
        <v>55</v>
      </c>
      <c r="C416" s="92" t="s">
        <v>922</v>
      </c>
      <c r="D416" s="92"/>
      <c r="E416" s="204">
        <v>9935193</v>
      </c>
      <c r="F416" s="92" t="s">
        <v>768</v>
      </c>
      <c r="G416" s="263">
        <v>1406517</v>
      </c>
      <c r="H416" s="156" t="s">
        <v>769</v>
      </c>
      <c r="I416" s="263">
        <v>9</v>
      </c>
      <c r="J416" s="263">
        <v>21</v>
      </c>
      <c r="K416" s="265">
        <v>25000</v>
      </c>
      <c r="L416" s="100">
        <v>44397</v>
      </c>
      <c r="M416" s="100">
        <v>44448</v>
      </c>
      <c r="N416" s="100">
        <v>44448</v>
      </c>
      <c r="O416" s="92" t="s">
        <v>2305</v>
      </c>
      <c r="P416" s="92" t="s">
        <v>2306</v>
      </c>
      <c r="Q416" s="92"/>
      <c r="R416" s="92"/>
      <c r="S416" s="92"/>
      <c r="T416" s="92" t="s">
        <v>2377</v>
      </c>
      <c r="U416" s="92" t="s">
        <v>2378</v>
      </c>
      <c r="V416" s="92" t="s">
        <v>606</v>
      </c>
      <c r="W416" s="92" t="s">
        <v>770</v>
      </c>
      <c r="X416" s="92" t="s">
        <v>1236</v>
      </c>
      <c r="Y416" s="92" t="s">
        <v>778</v>
      </c>
      <c r="Z416" s="92" t="s">
        <v>779</v>
      </c>
      <c r="AA416" s="92" t="s">
        <v>1712</v>
      </c>
      <c r="AB416" s="92"/>
      <c r="AC416" s="92"/>
      <c r="AD416" s="92"/>
      <c r="AE416" s="92" t="s">
        <v>2307</v>
      </c>
    </row>
    <row r="417" spans="1:31" ht="12.75" customHeight="1">
      <c r="A417" s="92" t="s">
        <v>620</v>
      </c>
      <c r="B417" s="92" t="s">
        <v>55</v>
      </c>
      <c r="C417" s="92" t="s">
        <v>922</v>
      </c>
      <c r="D417" s="92"/>
      <c r="E417" s="204">
        <v>9939946</v>
      </c>
      <c r="F417" s="92" t="s">
        <v>768</v>
      </c>
      <c r="G417" s="263">
        <v>1408269</v>
      </c>
      <c r="H417" s="156" t="s">
        <v>769</v>
      </c>
      <c r="I417" s="263">
        <v>9</v>
      </c>
      <c r="J417" s="263">
        <v>21</v>
      </c>
      <c r="K417" s="265">
        <v>52131.4</v>
      </c>
      <c r="L417" s="100">
        <v>44434</v>
      </c>
      <c r="M417" s="100">
        <v>44456</v>
      </c>
      <c r="N417" s="100">
        <v>44456</v>
      </c>
      <c r="O417" s="92" t="s">
        <v>2000</v>
      </c>
      <c r="P417" s="92" t="s">
        <v>710</v>
      </c>
      <c r="Q417" s="92"/>
      <c r="R417" s="92"/>
      <c r="S417" s="92"/>
      <c r="T417" s="92" t="s">
        <v>2379</v>
      </c>
      <c r="U417" s="92" t="s">
        <v>2380</v>
      </c>
      <c r="V417" s="92" t="s">
        <v>606</v>
      </c>
      <c r="W417" s="92" t="s">
        <v>770</v>
      </c>
      <c r="X417" s="92" t="s">
        <v>1236</v>
      </c>
      <c r="Y417" s="92" t="s">
        <v>778</v>
      </c>
      <c r="Z417" s="92" t="s">
        <v>779</v>
      </c>
      <c r="AA417" s="92" t="s">
        <v>1779</v>
      </c>
      <c r="AB417" s="92"/>
      <c r="AC417" s="92"/>
      <c r="AD417" s="92"/>
      <c r="AE417" s="92" t="s">
        <v>2308</v>
      </c>
    </row>
    <row r="418" spans="1:31" ht="12.75" customHeight="1">
      <c r="A418" s="98" t="s">
        <v>620</v>
      </c>
      <c r="B418" s="98" t="s">
        <v>1219</v>
      </c>
      <c r="C418" s="98" t="s">
        <v>922</v>
      </c>
      <c r="D418" s="98"/>
      <c r="E418" s="204">
        <v>9933921</v>
      </c>
      <c r="F418" s="98" t="s">
        <v>49</v>
      </c>
      <c r="G418" s="263">
        <v>18714078</v>
      </c>
      <c r="H418" s="157" t="s">
        <v>772</v>
      </c>
      <c r="I418" s="263">
        <v>9</v>
      </c>
      <c r="J418" s="263">
        <v>21</v>
      </c>
      <c r="K418" s="266">
        <v>-175000</v>
      </c>
      <c r="L418" s="101">
        <v>44469</v>
      </c>
      <c r="M418" s="101">
        <v>44469</v>
      </c>
      <c r="N418" s="101">
        <v>44446</v>
      </c>
      <c r="O418" s="98" t="s">
        <v>2309</v>
      </c>
      <c r="P418" s="98" t="s">
        <v>2309</v>
      </c>
      <c r="Q418" s="98"/>
      <c r="R418" s="98"/>
      <c r="S418" s="98"/>
      <c r="T418" s="98" t="s">
        <v>2381</v>
      </c>
      <c r="U418" s="98">
        <v>0</v>
      </c>
      <c r="V418" s="98" t="s">
        <v>606</v>
      </c>
      <c r="W418" s="98" t="s">
        <v>770</v>
      </c>
      <c r="X418" s="98" t="s">
        <v>2310</v>
      </c>
      <c r="Y418" s="98" t="s">
        <v>778</v>
      </c>
      <c r="Z418" s="98" t="s">
        <v>2099</v>
      </c>
      <c r="AA418" s="98"/>
      <c r="AB418" s="98"/>
      <c r="AC418" s="98"/>
      <c r="AD418" s="98"/>
      <c r="AE418" s="98"/>
    </row>
    <row r="419" spans="1:31" ht="12.75" customHeight="1">
      <c r="A419" s="102" t="s">
        <v>602</v>
      </c>
      <c r="B419" s="102"/>
      <c r="C419" s="102"/>
      <c r="D419" s="102"/>
      <c r="E419" s="102"/>
      <c r="F419" s="102"/>
      <c r="G419" s="160"/>
      <c r="H419" s="160"/>
      <c r="I419" s="160"/>
      <c r="J419" s="160"/>
      <c r="K419" s="267">
        <v>-7379664</v>
      </c>
      <c r="L419" s="102"/>
      <c r="M419" s="102"/>
      <c r="N419" s="102"/>
      <c r="O419" s="102"/>
      <c r="P419" s="102"/>
      <c r="Q419" s="102"/>
      <c r="R419" s="102"/>
      <c r="S419" s="102"/>
      <c r="T419" s="102"/>
      <c r="U419" s="102"/>
      <c r="V419" s="102"/>
      <c r="W419" s="102"/>
      <c r="X419" s="102"/>
      <c r="Y419" s="102"/>
      <c r="Z419" s="102"/>
      <c r="AA419" s="102"/>
      <c r="AB419" s="102"/>
      <c r="AC419" s="102"/>
      <c r="AD419" s="102"/>
      <c r="AE419" s="102"/>
    </row>
    <row r="421" spans="1:31" ht="31.5">
      <c r="A421" s="91" t="s">
        <v>746</v>
      </c>
      <c r="B421" s="91" t="s">
        <v>604</v>
      </c>
      <c r="C421" s="91" t="s">
        <v>747</v>
      </c>
      <c r="D421" s="91" t="s">
        <v>608</v>
      </c>
      <c r="E421" s="91" t="s">
        <v>748</v>
      </c>
      <c r="F421" s="91" t="s">
        <v>749</v>
      </c>
      <c r="G421" s="159" t="s">
        <v>750</v>
      </c>
      <c r="H421" s="159" t="s">
        <v>751</v>
      </c>
      <c r="I421" s="159" t="s">
        <v>752</v>
      </c>
      <c r="J421" s="159" t="s">
        <v>753</v>
      </c>
      <c r="K421" s="159" t="s">
        <v>754</v>
      </c>
      <c r="L421" s="91" t="s">
        <v>918</v>
      </c>
      <c r="M421" s="91" t="s">
        <v>2</v>
      </c>
      <c r="N421" s="91" t="s">
        <v>755</v>
      </c>
      <c r="O421" s="91" t="s">
        <v>605</v>
      </c>
      <c r="P421" s="91" t="s">
        <v>756</v>
      </c>
      <c r="Q421" s="91" t="s">
        <v>757</v>
      </c>
      <c r="R421" s="91" t="s">
        <v>758</v>
      </c>
      <c r="S421" s="91" t="s">
        <v>759</v>
      </c>
      <c r="T421" s="91" t="s">
        <v>760</v>
      </c>
      <c r="U421" s="91" t="s">
        <v>761</v>
      </c>
      <c r="V421" s="91" t="s">
        <v>762</v>
      </c>
      <c r="W421" s="91" t="s">
        <v>763</v>
      </c>
      <c r="X421" s="91" t="s">
        <v>764</v>
      </c>
      <c r="Y421" s="91" t="s">
        <v>765</v>
      </c>
      <c r="Z421" s="91" t="s">
        <v>766</v>
      </c>
      <c r="AA421" s="91" t="s">
        <v>767</v>
      </c>
      <c r="AB421" s="91" t="s">
        <v>919</v>
      </c>
      <c r="AC421" s="91" t="s">
        <v>920</v>
      </c>
      <c r="AD421" s="91" t="s">
        <v>921</v>
      </c>
      <c r="AE421" s="91" t="s">
        <v>946</v>
      </c>
    </row>
    <row r="422" spans="1:31" ht="12.75" customHeight="1">
      <c r="A422" s="92" t="s">
        <v>703</v>
      </c>
      <c r="B422" s="92" t="s">
        <v>53</v>
      </c>
      <c r="C422" s="92" t="s">
        <v>922</v>
      </c>
      <c r="D422" s="92"/>
      <c r="E422" s="204">
        <v>9944763</v>
      </c>
      <c r="F422" s="92" t="s">
        <v>768</v>
      </c>
      <c r="G422" s="263">
        <v>1409563</v>
      </c>
      <c r="H422" s="156" t="s">
        <v>769</v>
      </c>
      <c r="I422" s="263">
        <v>10</v>
      </c>
      <c r="J422" s="263">
        <v>21</v>
      </c>
      <c r="K422" s="265">
        <v>100000</v>
      </c>
      <c r="L422" s="100">
        <v>44426</v>
      </c>
      <c r="M422" s="100">
        <v>44470</v>
      </c>
      <c r="N422" s="100">
        <v>44470</v>
      </c>
      <c r="O422" s="92" t="s">
        <v>2382</v>
      </c>
      <c r="P422" s="92" t="s">
        <v>2383</v>
      </c>
      <c r="Q422" s="92"/>
      <c r="R422" s="92"/>
      <c r="S422" s="92"/>
      <c r="T422" s="92" t="s">
        <v>2326</v>
      </c>
      <c r="U422" s="92" t="s">
        <v>2437</v>
      </c>
      <c r="V422" s="92" t="s">
        <v>606</v>
      </c>
      <c r="W422" s="92" t="s">
        <v>770</v>
      </c>
      <c r="X422" s="92" t="s">
        <v>1236</v>
      </c>
      <c r="Y422" s="92" t="s">
        <v>778</v>
      </c>
      <c r="Z422" s="92" t="s">
        <v>912</v>
      </c>
      <c r="AA422" s="92" t="s">
        <v>2221</v>
      </c>
      <c r="AB422" s="92"/>
      <c r="AC422" s="92"/>
      <c r="AD422" s="92"/>
      <c r="AE422" s="92" t="s">
        <v>2384</v>
      </c>
    </row>
    <row r="423" spans="1:31" ht="12.75" customHeight="1">
      <c r="A423" s="92" t="s">
        <v>703</v>
      </c>
      <c r="B423" s="92" t="s">
        <v>53</v>
      </c>
      <c r="C423" s="92" t="s">
        <v>922</v>
      </c>
      <c r="D423" s="92"/>
      <c r="E423" s="204">
        <v>9946507</v>
      </c>
      <c r="F423" s="92" t="s">
        <v>768</v>
      </c>
      <c r="G423" s="263">
        <v>1410155</v>
      </c>
      <c r="H423" s="156" t="s">
        <v>769</v>
      </c>
      <c r="I423" s="263">
        <v>10</v>
      </c>
      <c r="J423" s="263">
        <v>21</v>
      </c>
      <c r="K423" s="265">
        <v>16151.25</v>
      </c>
      <c r="L423" s="100">
        <v>44469</v>
      </c>
      <c r="M423" s="100">
        <v>44475</v>
      </c>
      <c r="N423" s="100">
        <v>44475</v>
      </c>
      <c r="O423" s="92" t="s">
        <v>2206</v>
      </c>
      <c r="P423" s="92" t="s">
        <v>2207</v>
      </c>
      <c r="Q423" s="92"/>
      <c r="R423" s="92"/>
      <c r="S423" s="92"/>
      <c r="T423" s="92" t="s">
        <v>2322</v>
      </c>
      <c r="U423" s="92" t="s">
        <v>2323</v>
      </c>
      <c r="V423" s="92" t="s">
        <v>606</v>
      </c>
      <c r="W423" s="92" t="s">
        <v>770</v>
      </c>
      <c r="X423" s="92" t="s">
        <v>1236</v>
      </c>
      <c r="Y423" s="92" t="s">
        <v>778</v>
      </c>
      <c r="Z423" s="92" t="s">
        <v>912</v>
      </c>
      <c r="AA423" s="92" t="s">
        <v>2209</v>
      </c>
      <c r="AB423" s="92"/>
      <c r="AC423" s="92"/>
      <c r="AD423" s="92"/>
      <c r="AE423" s="92" t="s">
        <v>2385</v>
      </c>
    </row>
    <row r="424" spans="1:31" ht="12.75" customHeight="1">
      <c r="A424" s="92" t="s">
        <v>703</v>
      </c>
      <c r="B424" s="92" t="s">
        <v>1007</v>
      </c>
      <c r="C424" s="92" t="s">
        <v>922</v>
      </c>
      <c r="D424" s="92"/>
      <c r="E424" s="204">
        <v>9951690</v>
      </c>
      <c r="F424" s="92" t="s">
        <v>49</v>
      </c>
      <c r="G424" s="263">
        <v>18718396</v>
      </c>
      <c r="H424" s="156" t="s">
        <v>772</v>
      </c>
      <c r="I424" s="263">
        <v>10</v>
      </c>
      <c r="J424" s="263">
        <v>21</v>
      </c>
      <c r="K424" s="265">
        <v>-270000</v>
      </c>
      <c r="L424" s="100">
        <v>44500</v>
      </c>
      <c r="M424" s="100">
        <v>44500</v>
      </c>
      <c r="N424" s="100">
        <v>44487</v>
      </c>
      <c r="O424" s="92" t="s">
        <v>2386</v>
      </c>
      <c r="P424" s="92" t="s">
        <v>1616</v>
      </c>
      <c r="Q424" s="92"/>
      <c r="R424" s="92" t="s">
        <v>773</v>
      </c>
      <c r="S424" s="92"/>
      <c r="T424" s="92" t="s">
        <v>2438</v>
      </c>
      <c r="U424" s="92">
        <v>0</v>
      </c>
      <c r="V424" s="92" t="s">
        <v>606</v>
      </c>
      <c r="W424" s="92" t="s">
        <v>770</v>
      </c>
      <c r="X424" s="92" t="s">
        <v>1299</v>
      </c>
      <c r="Y424" s="92" t="s">
        <v>778</v>
      </c>
      <c r="Z424" s="92" t="s">
        <v>1008</v>
      </c>
      <c r="AA424" s="92" t="s">
        <v>2387</v>
      </c>
      <c r="AB424" s="92"/>
      <c r="AC424" s="92"/>
      <c r="AD424" s="92"/>
      <c r="AE424" s="92"/>
    </row>
    <row r="425" spans="1:31" ht="12.75" customHeight="1">
      <c r="A425" s="92" t="s">
        <v>703</v>
      </c>
      <c r="B425" s="92" t="s">
        <v>1007</v>
      </c>
      <c r="C425" s="92" t="s">
        <v>922</v>
      </c>
      <c r="D425" s="92"/>
      <c r="E425" s="204">
        <v>9954790</v>
      </c>
      <c r="F425" s="92" t="s">
        <v>49</v>
      </c>
      <c r="G425" s="263">
        <v>18759970</v>
      </c>
      <c r="H425" s="156" t="s">
        <v>772</v>
      </c>
      <c r="I425" s="263">
        <v>10</v>
      </c>
      <c r="J425" s="263">
        <v>21</v>
      </c>
      <c r="K425" s="265">
        <v>270000</v>
      </c>
      <c r="L425" s="100">
        <v>44500</v>
      </c>
      <c r="M425" s="100">
        <v>44500</v>
      </c>
      <c r="N425" s="100">
        <v>44495</v>
      </c>
      <c r="O425" s="92" t="s">
        <v>2386</v>
      </c>
      <c r="P425" s="92" t="s">
        <v>2475</v>
      </c>
      <c r="Q425" s="92"/>
      <c r="R425" s="92" t="s">
        <v>773</v>
      </c>
      <c r="S425" s="92"/>
      <c r="T425" s="92" t="s">
        <v>2438</v>
      </c>
      <c r="U425" s="92">
        <v>0</v>
      </c>
      <c r="V425" s="92" t="s">
        <v>606</v>
      </c>
      <c r="W425" s="92" t="s">
        <v>770</v>
      </c>
      <c r="X425" s="92" t="s">
        <v>1299</v>
      </c>
      <c r="Y425" s="92" t="s">
        <v>778</v>
      </c>
      <c r="Z425" s="92" t="s">
        <v>1008</v>
      </c>
      <c r="AA425" s="92" t="s">
        <v>2387</v>
      </c>
      <c r="AB425" s="92"/>
      <c r="AC425" s="92"/>
      <c r="AD425" s="92"/>
      <c r="AE425" s="92"/>
    </row>
    <row r="426" spans="1:31" ht="12.75" customHeight="1">
      <c r="A426" s="92" t="s">
        <v>703</v>
      </c>
      <c r="B426" s="92" t="s">
        <v>1007</v>
      </c>
      <c r="C426" s="92" t="s">
        <v>922</v>
      </c>
      <c r="D426" s="92"/>
      <c r="E426" s="204">
        <v>9955285</v>
      </c>
      <c r="F426" s="92" t="s">
        <v>49</v>
      </c>
      <c r="G426" s="263">
        <v>18760151</v>
      </c>
      <c r="H426" s="156" t="s">
        <v>772</v>
      </c>
      <c r="I426" s="263">
        <v>10</v>
      </c>
      <c r="J426" s="263">
        <v>21</v>
      </c>
      <c r="K426" s="265">
        <v>100000</v>
      </c>
      <c r="L426" s="100">
        <v>44500</v>
      </c>
      <c r="M426" s="100">
        <v>44500</v>
      </c>
      <c r="N426" s="100">
        <v>44496</v>
      </c>
      <c r="O426" s="92" t="s">
        <v>2478</v>
      </c>
      <c r="P426" s="92" t="s">
        <v>2479</v>
      </c>
      <c r="Q426" s="92"/>
      <c r="R426" s="92" t="s">
        <v>773</v>
      </c>
      <c r="S426" s="92"/>
      <c r="T426" s="92" t="s">
        <v>2480</v>
      </c>
      <c r="U426" s="92">
        <v>0</v>
      </c>
      <c r="V426" s="92" t="s">
        <v>606</v>
      </c>
      <c r="W426" s="92" t="s">
        <v>770</v>
      </c>
      <c r="X426" s="92" t="s">
        <v>1299</v>
      </c>
      <c r="Y426" s="92" t="s">
        <v>778</v>
      </c>
      <c r="Z426" s="92" t="s">
        <v>1008</v>
      </c>
      <c r="AA426" s="92" t="s">
        <v>2481</v>
      </c>
      <c r="AB426" s="92"/>
      <c r="AC426" s="92"/>
      <c r="AD426" s="92"/>
      <c r="AE426" s="92"/>
    </row>
    <row r="427" spans="1:31" ht="12.75" customHeight="1">
      <c r="A427" s="92" t="s">
        <v>703</v>
      </c>
      <c r="B427" s="92" t="s">
        <v>1007</v>
      </c>
      <c r="C427" s="92" t="s">
        <v>922</v>
      </c>
      <c r="D427" s="92"/>
      <c r="E427" s="204">
        <v>9955285</v>
      </c>
      <c r="F427" s="92" t="s">
        <v>49</v>
      </c>
      <c r="G427" s="263">
        <v>18760151</v>
      </c>
      <c r="H427" s="156" t="s">
        <v>772</v>
      </c>
      <c r="I427" s="263">
        <v>10</v>
      </c>
      <c r="J427" s="263">
        <v>21</v>
      </c>
      <c r="K427" s="265">
        <v>200000</v>
      </c>
      <c r="L427" s="100">
        <v>44500</v>
      </c>
      <c r="M427" s="100">
        <v>44500</v>
      </c>
      <c r="N427" s="100">
        <v>44496</v>
      </c>
      <c r="O427" s="92" t="s">
        <v>1146</v>
      </c>
      <c r="P427" s="92" t="s">
        <v>2479</v>
      </c>
      <c r="Q427" s="92"/>
      <c r="R427" s="92" t="s">
        <v>773</v>
      </c>
      <c r="S427" s="92"/>
      <c r="T427" s="92" t="s">
        <v>1147</v>
      </c>
      <c r="U427" s="92">
        <v>0</v>
      </c>
      <c r="V427" s="92" t="s">
        <v>606</v>
      </c>
      <c r="W427" s="92" t="s">
        <v>770</v>
      </c>
      <c r="X427" s="92" t="s">
        <v>1299</v>
      </c>
      <c r="Y427" s="92" t="s">
        <v>778</v>
      </c>
      <c r="Z427" s="92" t="s">
        <v>1008</v>
      </c>
      <c r="AA427" s="92" t="s">
        <v>1148</v>
      </c>
      <c r="AB427" s="92"/>
      <c r="AC427" s="92"/>
      <c r="AD427" s="92"/>
      <c r="AE427" s="92"/>
    </row>
    <row r="428" spans="1:31" ht="12.75" customHeight="1">
      <c r="A428" s="92" t="s">
        <v>703</v>
      </c>
      <c r="B428" s="92" t="s">
        <v>1216</v>
      </c>
      <c r="C428" s="92" t="s">
        <v>922</v>
      </c>
      <c r="D428" s="92"/>
      <c r="E428" s="204">
        <v>9954790</v>
      </c>
      <c r="F428" s="92" t="s">
        <v>49</v>
      </c>
      <c r="G428" s="263">
        <v>18759970</v>
      </c>
      <c r="H428" s="156" t="s">
        <v>772</v>
      </c>
      <c r="I428" s="263">
        <v>10</v>
      </c>
      <c r="J428" s="263">
        <v>21</v>
      </c>
      <c r="K428" s="265">
        <v>-270000</v>
      </c>
      <c r="L428" s="100">
        <v>44500</v>
      </c>
      <c r="M428" s="100">
        <v>44500</v>
      </c>
      <c r="N428" s="100">
        <v>44495</v>
      </c>
      <c r="O428" s="92" t="s">
        <v>2386</v>
      </c>
      <c r="P428" s="92" t="s">
        <v>2475</v>
      </c>
      <c r="Q428" s="92"/>
      <c r="R428" s="92" t="s">
        <v>773</v>
      </c>
      <c r="S428" s="92"/>
      <c r="T428" s="92" t="s">
        <v>2438</v>
      </c>
      <c r="U428" s="92">
        <v>0</v>
      </c>
      <c r="V428" s="92" t="s">
        <v>606</v>
      </c>
      <c r="W428" s="92" t="s">
        <v>770</v>
      </c>
      <c r="X428" s="92" t="s">
        <v>1299</v>
      </c>
      <c r="Y428" s="92" t="s">
        <v>778</v>
      </c>
      <c r="Z428" s="92" t="s">
        <v>2476</v>
      </c>
      <c r="AA428" s="92" t="s">
        <v>2387</v>
      </c>
      <c r="AB428" s="92"/>
      <c r="AC428" s="92"/>
      <c r="AD428" s="92"/>
      <c r="AE428" s="92"/>
    </row>
    <row r="429" spans="1:31" ht="12.75" customHeight="1">
      <c r="A429" s="92" t="s">
        <v>703</v>
      </c>
      <c r="B429" s="92" t="s">
        <v>56</v>
      </c>
      <c r="C429" s="92" t="s">
        <v>922</v>
      </c>
      <c r="D429" s="92"/>
      <c r="E429" s="204">
        <v>9953660</v>
      </c>
      <c r="F429" s="92" t="s">
        <v>768</v>
      </c>
      <c r="G429" s="263">
        <v>1412415</v>
      </c>
      <c r="H429" s="156" t="s">
        <v>769</v>
      </c>
      <c r="I429" s="263">
        <v>10</v>
      </c>
      <c r="J429" s="263">
        <v>21</v>
      </c>
      <c r="K429" s="265">
        <v>65875</v>
      </c>
      <c r="L429" s="100">
        <v>44470</v>
      </c>
      <c r="M429" s="100">
        <v>44490</v>
      </c>
      <c r="N429" s="100">
        <v>44490</v>
      </c>
      <c r="O429" s="92" t="s">
        <v>1736</v>
      </c>
      <c r="P429" s="92" t="s">
        <v>839</v>
      </c>
      <c r="Q429" s="92"/>
      <c r="R429" s="92"/>
      <c r="S429" s="92"/>
      <c r="T429" s="92" t="s">
        <v>2439</v>
      </c>
      <c r="U429" s="92" t="s">
        <v>2440</v>
      </c>
      <c r="V429" s="92" t="s">
        <v>606</v>
      </c>
      <c r="W429" s="92" t="s">
        <v>770</v>
      </c>
      <c r="X429" s="92" t="s">
        <v>1236</v>
      </c>
      <c r="Y429" s="92" t="s">
        <v>778</v>
      </c>
      <c r="Z429" s="92" t="s">
        <v>787</v>
      </c>
      <c r="AA429" s="92"/>
      <c r="AB429" s="92"/>
      <c r="AC429" s="92"/>
      <c r="AD429" s="92"/>
      <c r="AE429" s="92" t="s">
        <v>2388</v>
      </c>
    </row>
    <row r="430" spans="1:31" ht="12.75" customHeight="1">
      <c r="A430" s="92" t="s">
        <v>703</v>
      </c>
      <c r="B430" s="92" t="s">
        <v>58</v>
      </c>
      <c r="C430" s="92" t="s">
        <v>922</v>
      </c>
      <c r="D430" s="92"/>
      <c r="E430" s="204">
        <v>9945406</v>
      </c>
      <c r="F430" s="92" t="s">
        <v>768</v>
      </c>
      <c r="G430" s="263">
        <v>1409859</v>
      </c>
      <c r="H430" s="156" t="s">
        <v>769</v>
      </c>
      <c r="I430" s="263">
        <v>10</v>
      </c>
      <c r="J430" s="263">
        <v>21</v>
      </c>
      <c r="K430" s="265">
        <v>287000</v>
      </c>
      <c r="L430" s="100">
        <v>44468</v>
      </c>
      <c r="M430" s="100">
        <v>44473</v>
      </c>
      <c r="N430" s="100">
        <v>44473</v>
      </c>
      <c r="O430" s="92" t="s">
        <v>2389</v>
      </c>
      <c r="P430" s="92" t="s">
        <v>2390</v>
      </c>
      <c r="Q430" s="92"/>
      <c r="R430" s="92"/>
      <c r="S430" s="92"/>
      <c r="T430" s="92" t="s">
        <v>2331</v>
      </c>
      <c r="U430" s="92" t="s">
        <v>2441</v>
      </c>
      <c r="V430" s="92" t="s">
        <v>606</v>
      </c>
      <c r="W430" s="92" t="s">
        <v>770</v>
      </c>
      <c r="X430" s="92" t="s">
        <v>1236</v>
      </c>
      <c r="Y430" s="92" t="s">
        <v>778</v>
      </c>
      <c r="Z430" s="92" t="s">
        <v>929</v>
      </c>
      <c r="AA430" s="92" t="s">
        <v>2230</v>
      </c>
      <c r="AB430" s="92"/>
      <c r="AC430" s="92"/>
      <c r="AD430" s="92"/>
      <c r="AE430" s="92" t="s">
        <v>2391</v>
      </c>
    </row>
    <row r="431" spans="1:31" ht="12.75" customHeight="1">
      <c r="A431" s="92" t="s">
        <v>703</v>
      </c>
      <c r="B431" s="92" t="s">
        <v>58</v>
      </c>
      <c r="C431" s="92" t="s">
        <v>922</v>
      </c>
      <c r="D431" s="92"/>
      <c r="E431" s="204">
        <v>9955670</v>
      </c>
      <c r="F431" s="92" t="s">
        <v>49</v>
      </c>
      <c r="G431" s="263">
        <v>18764047</v>
      </c>
      <c r="H431" s="156" t="s">
        <v>772</v>
      </c>
      <c r="I431" s="263">
        <v>10</v>
      </c>
      <c r="J431" s="263">
        <v>21</v>
      </c>
      <c r="K431" s="265">
        <v>-3837142.86</v>
      </c>
      <c r="L431" s="100">
        <v>44500</v>
      </c>
      <c r="M431" s="100">
        <v>44500</v>
      </c>
      <c r="N431" s="100">
        <v>44497</v>
      </c>
      <c r="O431" s="92" t="s">
        <v>2482</v>
      </c>
      <c r="P431" s="92" t="s">
        <v>2232</v>
      </c>
      <c r="Q431" s="92"/>
      <c r="R431" s="92"/>
      <c r="S431" s="92"/>
      <c r="T431" s="92" t="s">
        <v>2327</v>
      </c>
      <c r="U431" s="92">
        <v>0</v>
      </c>
      <c r="V431" s="92" t="s">
        <v>606</v>
      </c>
      <c r="W431" s="92" t="s">
        <v>770</v>
      </c>
      <c r="X431" s="92" t="s">
        <v>2213</v>
      </c>
      <c r="Y431" s="92" t="s">
        <v>778</v>
      </c>
      <c r="Z431" s="92" t="s">
        <v>929</v>
      </c>
      <c r="AA431" s="92" t="s">
        <v>1452</v>
      </c>
      <c r="AB431" s="92"/>
      <c r="AC431" s="92"/>
      <c r="AD431" s="92"/>
      <c r="AE431" s="92"/>
    </row>
    <row r="432" spans="1:31" ht="12.75" customHeight="1">
      <c r="A432" s="92" t="s">
        <v>703</v>
      </c>
      <c r="B432" s="92" t="s">
        <v>58</v>
      </c>
      <c r="C432" s="92" t="s">
        <v>922</v>
      </c>
      <c r="D432" s="92"/>
      <c r="E432" s="204">
        <v>9955670</v>
      </c>
      <c r="F432" s="92" t="s">
        <v>49</v>
      </c>
      <c r="G432" s="263">
        <v>18764047</v>
      </c>
      <c r="H432" s="156" t="s">
        <v>772</v>
      </c>
      <c r="I432" s="263">
        <v>10</v>
      </c>
      <c r="J432" s="263">
        <v>21</v>
      </c>
      <c r="K432" s="265">
        <v>-203919.42</v>
      </c>
      <c r="L432" s="100">
        <v>44500</v>
      </c>
      <c r="M432" s="100">
        <v>44500</v>
      </c>
      <c r="N432" s="100">
        <v>44497</v>
      </c>
      <c r="O432" s="92" t="s">
        <v>2483</v>
      </c>
      <c r="P432" s="92" t="s">
        <v>2232</v>
      </c>
      <c r="Q432" s="92"/>
      <c r="R432" s="92"/>
      <c r="S432" s="92"/>
      <c r="T432" s="92" t="s">
        <v>2332</v>
      </c>
      <c r="U432" s="92">
        <v>0</v>
      </c>
      <c r="V432" s="92" t="s">
        <v>606</v>
      </c>
      <c r="W432" s="92" t="s">
        <v>770</v>
      </c>
      <c r="X432" s="92" t="s">
        <v>2213</v>
      </c>
      <c r="Y432" s="92" t="s">
        <v>778</v>
      </c>
      <c r="Z432" s="92" t="s">
        <v>929</v>
      </c>
      <c r="AA432" s="92" t="s">
        <v>1458</v>
      </c>
      <c r="AB432" s="92"/>
      <c r="AC432" s="92"/>
      <c r="AD432" s="92"/>
      <c r="AE432" s="92"/>
    </row>
    <row r="433" spans="1:31" ht="12.75" customHeight="1">
      <c r="A433" s="92" t="s">
        <v>703</v>
      </c>
      <c r="B433" s="92" t="s">
        <v>61</v>
      </c>
      <c r="C433" s="92" t="s">
        <v>922</v>
      </c>
      <c r="D433" s="92"/>
      <c r="E433" s="204">
        <v>9951313</v>
      </c>
      <c r="F433" s="92" t="s">
        <v>768</v>
      </c>
      <c r="G433" s="263">
        <v>1411662</v>
      </c>
      <c r="H433" s="156" t="s">
        <v>769</v>
      </c>
      <c r="I433" s="263">
        <v>10</v>
      </c>
      <c r="J433" s="263">
        <v>21</v>
      </c>
      <c r="K433" s="265">
        <v>82500</v>
      </c>
      <c r="L433" s="100">
        <v>44477</v>
      </c>
      <c r="M433" s="100">
        <v>44487</v>
      </c>
      <c r="N433" s="100">
        <v>44487</v>
      </c>
      <c r="O433" s="92" t="s">
        <v>2392</v>
      </c>
      <c r="P433" s="92" t="s">
        <v>2393</v>
      </c>
      <c r="Q433" s="92"/>
      <c r="R433" s="92"/>
      <c r="S433" s="92"/>
      <c r="T433" s="92" t="s">
        <v>2442</v>
      </c>
      <c r="U433" s="92" t="s">
        <v>2443</v>
      </c>
      <c r="V433" s="92" t="s">
        <v>606</v>
      </c>
      <c r="W433" s="92" t="s">
        <v>770</v>
      </c>
      <c r="X433" s="92" t="s">
        <v>1236</v>
      </c>
      <c r="Y433" s="92" t="s">
        <v>778</v>
      </c>
      <c r="Z433" s="92" t="s">
        <v>933</v>
      </c>
      <c r="AA433" s="92" t="s">
        <v>2395</v>
      </c>
      <c r="AB433" s="92"/>
      <c r="AC433" s="92"/>
      <c r="AD433" s="92"/>
      <c r="AE433" s="92" t="s">
        <v>2394</v>
      </c>
    </row>
    <row r="434" spans="1:31" ht="12.75" customHeight="1">
      <c r="A434" s="92" t="s">
        <v>703</v>
      </c>
      <c r="B434" s="92" t="s">
        <v>64</v>
      </c>
      <c r="C434" s="92" t="s">
        <v>922</v>
      </c>
      <c r="D434" s="92"/>
      <c r="E434" s="204">
        <v>9955285</v>
      </c>
      <c r="F434" s="92" t="s">
        <v>49</v>
      </c>
      <c r="G434" s="263">
        <v>18760150</v>
      </c>
      <c r="H434" s="156" t="s">
        <v>772</v>
      </c>
      <c r="I434" s="263">
        <v>10</v>
      </c>
      <c r="J434" s="263">
        <v>21</v>
      </c>
      <c r="K434" s="265">
        <v>15000</v>
      </c>
      <c r="L434" s="100">
        <v>44500</v>
      </c>
      <c r="M434" s="100">
        <v>44500</v>
      </c>
      <c r="N434" s="100">
        <v>44496</v>
      </c>
      <c r="O434" s="92" t="s">
        <v>1174</v>
      </c>
      <c r="P434" s="92" t="s">
        <v>2479</v>
      </c>
      <c r="Q434" s="92"/>
      <c r="R434" s="92" t="s">
        <v>773</v>
      </c>
      <c r="S434" s="92"/>
      <c r="T434" s="92" t="s">
        <v>1175</v>
      </c>
      <c r="U434" s="92">
        <v>0</v>
      </c>
      <c r="V434" s="92" t="s">
        <v>606</v>
      </c>
      <c r="W434" s="92" t="s">
        <v>770</v>
      </c>
      <c r="X434" s="92" t="s">
        <v>1299</v>
      </c>
      <c r="Y434" s="92" t="s">
        <v>778</v>
      </c>
      <c r="Z434" s="92" t="s">
        <v>785</v>
      </c>
      <c r="AA434" s="92" t="s">
        <v>1176</v>
      </c>
      <c r="AB434" s="92"/>
      <c r="AC434" s="92"/>
      <c r="AD434" s="92"/>
      <c r="AE434" s="92"/>
    </row>
    <row r="435" spans="1:31" ht="12.75" customHeight="1">
      <c r="A435" s="92" t="s">
        <v>703</v>
      </c>
      <c r="B435" s="92" t="s">
        <v>64</v>
      </c>
      <c r="C435" s="92" t="s">
        <v>922</v>
      </c>
      <c r="D435" s="92"/>
      <c r="E435" s="204">
        <v>9955285</v>
      </c>
      <c r="F435" s="92" t="s">
        <v>49</v>
      </c>
      <c r="G435" s="263">
        <v>18760150</v>
      </c>
      <c r="H435" s="156" t="s">
        <v>772</v>
      </c>
      <c r="I435" s="263">
        <v>10</v>
      </c>
      <c r="J435" s="263">
        <v>21</v>
      </c>
      <c r="K435" s="265">
        <v>90000</v>
      </c>
      <c r="L435" s="100">
        <v>44500</v>
      </c>
      <c r="M435" s="100">
        <v>44500</v>
      </c>
      <c r="N435" s="100">
        <v>44496</v>
      </c>
      <c r="O435" s="92" t="s">
        <v>1612</v>
      </c>
      <c r="P435" s="92" t="s">
        <v>2479</v>
      </c>
      <c r="Q435" s="92"/>
      <c r="R435" s="92" t="s">
        <v>773</v>
      </c>
      <c r="S435" s="92"/>
      <c r="T435" s="92" t="s">
        <v>2484</v>
      </c>
      <c r="U435" s="92">
        <v>0</v>
      </c>
      <c r="V435" s="92" t="s">
        <v>606</v>
      </c>
      <c r="W435" s="92" t="s">
        <v>770</v>
      </c>
      <c r="X435" s="92" t="s">
        <v>1299</v>
      </c>
      <c r="Y435" s="92" t="s">
        <v>778</v>
      </c>
      <c r="Z435" s="92" t="s">
        <v>785</v>
      </c>
      <c r="AA435" s="92" t="s">
        <v>1611</v>
      </c>
      <c r="AB435" s="92"/>
      <c r="AC435" s="92"/>
      <c r="AD435" s="92"/>
      <c r="AE435" s="92"/>
    </row>
    <row r="436" spans="1:31" ht="12.75" customHeight="1">
      <c r="A436" s="92" t="s">
        <v>846</v>
      </c>
      <c r="B436" s="92" t="s">
        <v>1003</v>
      </c>
      <c r="C436" s="92" t="s">
        <v>922</v>
      </c>
      <c r="D436" s="92"/>
      <c r="E436" s="204">
        <v>9929875</v>
      </c>
      <c r="F436" s="92" t="s">
        <v>49</v>
      </c>
      <c r="G436" s="263">
        <v>18700813</v>
      </c>
      <c r="H436" s="156" t="s">
        <v>772</v>
      </c>
      <c r="I436" s="263">
        <v>10</v>
      </c>
      <c r="J436" s="263">
        <v>21</v>
      </c>
      <c r="K436" s="265">
        <v>433327.88</v>
      </c>
      <c r="L436" s="100">
        <v>44435</v>
      </c>
      <c r="M436" s="100">
        <v>44470</v>
      </c>
      <c r="N436" s="100">
        <v>44435</v>
      </c>
      <c r="O436" s="92" t="s">
        <v>2244</v>
      </c>
      <c r="P436" s="92" t="s">
        <v>2245</v>
      </c>
      <c r="Q436" s="92"/>
      <c r="R436" s="92"/>
      <c r="S436" s="92"/>
      <c r="T436" s="92" t="s">
        <v>1092</v>
      </c>
      <c r="U436" s="92">
        <v>0</v>
      </c>
      <c r="V436" s="92" t="s">
        <v>606</v>
      </c>
      <c r="W436" s="92" t="s">
        <v>770</v>
      </c>
      <c r="X436" s="92" t="s">
        <v>2246</v>
      </c>
      <c r="Y436" s="92" t="s">
        <v>1281</v>
      </c>
      <c r="Z436" s="92" t="s">
        <v>1004</v>
      </c>
      <c r="AA436" s="92" t="s">
        <v>1093</v>
      </c>
      <c r="AB436" s="92"/>
      <c r="AC436" s="92"/>
      <c r="AD436" s="92" t="s">
        <v>768</v>
      </c>
      <c r="AE436" s="92"/>
    </row>
    <row r="437" spans="1:31" ht="12.75" customHeight="1">
      <c r="A437" s="92" t="s">
        <v>846</v>
      </c>
      <c r="B437" s="92" t="s">
        <v>609</v>
      </c>
      <c r="C437" s="92" t="s">
        <v>922</v>
      </c>
      <c r="D437" s="92"/>
      <c r="E437" s="204">
        <v>9948556</v>
      </c>
      <c r="F437" s="92" t="s">
        <v>49</v>
      </c>
      <c r="G437" s="263">
        <v>18717204</v>
      </c>
      <c r="H437" s="156" t="s">
        <v>772</v>
      </c>
      <c r="I437" s="263">
        <v>10</v>
      </c>
      <c r="J437" s="263">
        <v>21</v>
      </c>
      <c r="K437" s="265">
        <v>893013.33</v>
      </c>
      <c r="L437" s="100">
        <v>44481</v>
      </c>
      <c r="M437" s="100">
        <v>44481</v>
      </c>
      <c r="N437" s="100">
        <v>44481</v>
      </c>
      <c r="O437" s="92" t="s">
        <v>1080</v>
      </c>
      <c r="P437" s="92" t="s">
        <v>2396</v>
      </c>
      <c r="Q437" s="92"/>
      <c r="R437" s="92" t="s">
        <v>957</v>
      </c>
      <c r="S437" s="92"/>
      <c r="T437" s="92" t="s">
        <v>1081</v>
      </c>
      <c r="U437" s="92">
        <v>0</v>
      </c>
      <c r="V437" s="92" t="s">
        <v>606</v>
      </c>
      <c r="W437" s="92" t="s">
        <v>770</v>
      </c>
      <c r="X437" s="92" t="s">
        <v>1041</v>
      </c>
      <c r="Y437" s="92" t="s">
        <v>1891</v>
      </c>
      <c r="Z437" s="92" t="s">
        <v>788</v>
      </c>
      <c r="AA437" s="92" t="s">
        <v>1082</v>
      </c>
      <c r="AB437" s="92"/>
      <c r="AC437" s="92"/>
      <c r="AD437" s="92"/>
      <c r="AE437" s="92"/>
    </row>
    <row r="438" spans="1:31" ht="12.75" customHeight="1">
      <c r="A438" s="92" t="s">
        <v>846</v>
      </c>
      <c r="B438" s="92" t="s">
        <v>609</v>
      </c>
      <c r="C438" s="92" t="s">
        <v>922</v>
      </c>
      <c r="D438" s="92"/>
      <c r="E438" s="204">
        <v>9955694</v>
      </c>
      <c r="F438" s="92" t="s">
        <v>49</v>
      </c>
      <c r="G438" s="263">
        <v>18764051</v>
      </c>
      <c r="H438" s="156" t="s">
        <v>772</v>
      </c>
      <c r="I438" s="263">
        <v>10</v>
      </c>
      <c r="J438" s="263">
        <v>21</v>
      </c>
      <c r="K438" s="265">
        <v>-813200</v>
      </c>
      <c r="L438" s="100">
        <v>44500</v>
      </c>
      <c r="M438" s="100">
        <v>44500</v>
      </c>
      <c r="N438" s="100">
        <v>44497</v>
      </c>
      <c r="O438" s="92" t="s">
        <v>2485</v>
      </c>
      <c r="P438" s="92" t="s">
        <v>2485</v>
      </c>
      <c r="Q438" s="92"/>
      <c r="R438" s="92" t="s">
        <v>773</v>
      </c>
      <c r="S438" s="92"/>
      <c r="T438" s="92" t="s">
        <v>2486</v>
      </c>
      <c r="U438" s="92">
        <v>0</v>
      </c>
      <c r="V438" s="92" t="s">
        <v>606</v>
      </c>
      <c r="W438" s="92" t="s">
        <v>770</v>
      </c>
      <c r="X438" s="92" t="s">
        <v>1041</v>
      </c>
      <c r="Y438" s="92" t="s">
        <v>778</v>
      </c>
      <c r="Z438" s="92" t="s">
        <v>788</v>
      </c>
      <c r="AA438" s="92" t="s">
        <v>2058</v>
      </c>
      <c r="AB438" s="92"/>
      <c r="AC438" s="92"/>
      <c r="AD438" s="92"/>
      <c r="AE438" s="92"/>
    </row>
    <row r="439" spans="1:31" ht="12.75" customHeight="1">
      <c r="A439" s="92" t="s">
        <v>846</v>
      </c>
      <c r="B439" s="92" t="s">
        <v>1154</v>
      </c>
      <c r="C439" s="92" t="s">
        <v>922</v>
      </c>
      <c r="D439" s="92"/>
      <c r="E439" s="204">
        <v>9955702</v>
      </c>
      <c r="F439" s="92" t="s">
        <v>49</v>
      </c>
      <c r="G439" s="263">
        <v>18764054</v>
      </c>
      <c r="H439" s="156" t="s">
        <v>772</v>
      </c>
      <c r="I439" s="263">
        <v>10</v>
      </c>
      <c r="J439" s="263">
        <v>21</v>
      </c>
      <c r="K439" s="265">
        <v>-19320</v>
      </c>
      <c r="L439" s="100">
        <v>44500</v>
      </c>
      <c r="M439" s="100">
        <v>44500</v>
      </c>
      <c r="N439" s="100">
        <v>44497</v>
      </c>
      <c r="O439" s="92" t="s">
        <v>2487</v>
      </c>
      <c r="P439" s="92" t="s">
        <v>2487</v>
      </c>
      <c r="Q439" s="92"/>
      <c r="R439" s="92" t="s">
        <v>773</v>
      </c>
      <c r="S439" s="92"/>
      <c r="T439" s="92" t="s">
        <v>2488</v>
      </c>
      <c r="U439" s="92">
        <v>0</v>
      </c>
      <c r="V439" s="92" t="s">
        <v>606</v>
      </c>
      <c r="W439" s="92" t="s">
        <v>770</v>
      </c>
      <c r="X439" s="92" t="s">
        <v>1041</v>
      </c>
      <c r="Y439" s="92" t="s">
        <v>778</v>
      </c>
      <c r="Z439" s="92" t="s">
        <v>1155</v>
      </c>
      <c r="AA439" s="92" t="s">
        <v>2064</v>
      </c>
      <c r="AB439" s="92"/>
      <c r="AC439" s="92"/>
      <c r="AD439" s="92"/>
      <c r="AE439" s="92"/>
    </row>
    <row r="440" spans="1:31" ht="12.75" customHeight="1">
      <c r="A440" s="92" t="s">
        <v>892</v>
      </c>
      <c r="B440" s="92" t="s">
        <v>50</v>
      </c>
      <c r="C440" s="92" t="s">
        <v>922</v>
      </c>
      <c r="D440" s="92"/>
      <c r="E440" s="204">
        <v>9949341</v>
      </c>
      <c r="F440" s="92" t="s">
        <v>768</v>
      </c>
      <c r="G440" s="263">
        <v>1411187</v>
      </c>
      <c r="H440" s="156" t="s">
        <v>769</v>
      </c>
      <c r="I440" s="263">
        <v>10</v>
      </c>
      <c r="J440" s="263">
        <v>21</v>
      </c>
      <c r="K440" s="265">
        <v>-937475.45</v>
      </c>
      <c r="L440" s="100">
        <v>44469</v>
      </c>
      <c r="M440" s="100">
        <v>44482</v>
      </c>
      <c r="N440" s="100">
        <v>44482</v>
      </c>
      <c r="O440" s="92" t="s">
        <v>774</v>
      </c>
      <c r="P440" s="92" t="s">
        <v>619</v>
      </c>
      <c r="Q440" s="92"/>
      <c r="R440" s="92"/>
      <c r="S440" s="92"/>
      <c r="T440" s="92" t="s">
        <v>2444</v>
      </c>
      <c r="U440" s="92" t="s">
        <v>2445</v>
      </c>
      <c r="V440" s="92" t="s">
        <v>606</v>
      </c>
      <c r="W440" s="92" t="s">
        <v>770</v>
      </c>
      <c r="X440" s="92" t="s">
        <v>1236</v>
      </c>
      <c r="Y440" s="92" t="s">
        <v>778</v>
      </c>
      <c r="Z440" s="92" t="s">
        <v>925</v>
      </c>
      <c r="AA440" s="92" t="s">
        <v>2398</v>
      </c>
      <c r="AB440" s="92"/>
      <c r="AC440" s="92"/>
      <c r="AD440" s="92" t="s">
        <v>768</v>
      </c>
      <c r="AE440" s="92" t="s">
        <v>2397</v>
      </c>
    </row>
    <row r="441" spans="1:31" ht="12.75" customHeight="1">
      <c r="A441" s="92" t="s">
        <v>892</v>
      </c>
      <c r="B441" s="92" t="s">
        <v>50</v>
      </c>
      <c r="C441" s="92" t="s">
        <v>922</v>
      </c>
      <c r="D441" s="92"/>
      <c r="E441" s="204">
        <v>9949341</v>
      </c>
      <c r="F441" s="92" t="s">
        <v>768</v>
      </c>
      <c r="G441" s="263">
        <v>1411187</v>
      </c>
      <c r="H441" s="156" t="s">
        <v>769</v>
      </c>
      <c r="I441" s="263">
        <v>10</v>
      </c>
      <c r="J441" s="263">
        <v>21</v>
      </c>
      <c r="K441" s="265">
        <v>937475.46</v>
      </c>
      <c r="L441" s="100">
        <v>44469</v>
      </c>
      <c r="M441" s="100">
        <v>44482</v>
      </c>
      <c r="N441" s="100">
        <v>44482</v>
      </c>
      <c r="O441" s="92" t="s">
        <v>2399</v>
      </c>
      <c r="P441" s="92" t="s">
        <v>619</v>
      </c>
      <c r="Q441" s="92"/>
      <c r="R441" s="92"/>
      <c r="S441" s="92"/>
      <c r="T441" s="92" t="s">
        <v>2444</v>
      </c>
      <c r="U441" s="92" t="s">
        <v>2445</v>
      </c>
      <c r="V441" s="92" t="s">
        <v>606</v>
      </c>
      <c r="W441" s="92" t="s">
        <v>770</v>
      </c>
      <c r="X441" s="92" t="s">
        <v>1236</v>
      </c>
      <c r="Y441" s="92" t="s">
        <v>778</v>
      </c>
      <c r="Z441" s="92" t="s">
        <v>925</v>
      </c>
      <c r="AA441" s="92" t="s">
        <v>2398</v>
      </c>
      <c r="AB441" s="92"/>
      <c r="AC441" s="92"/>
      <c r="AD441" s="92" t="s">
        <v>768</v>
      </c>
      <c r="AE441" s="92" t="s">
        <v>2397</v>
      </c>
    </row>
    <row r="442" spans="1:31" ht="12.75" customHeight="1">
      <c r="A442" s="92" t="s">
        <v>892</v>
      </c>
      <c r="B442" s="92" t="s">
        <v>50</v>
      </c>
      <c r="C442" s="92" t="s">
        <v>922</v>
      </c>
      <c r="D442" s="92"/>
      <c r="E442" s="204">
        <v>9949341</v>
      </c>
      <c r="F442" s="92" t="s">
        <v>768</v>
      </c>
      <c r="G442" s="263">
        <v>1411187</v>
      </c>
      <c r="H442" s="156" t="s">
        <v>769</v>
      </c>
      <c r="I442" s="263">
        <v>10</v>
      </c>
      <c r="J442" s="263">
        <v>21</v>
      </c>
      <c r="K442" s="265">
        <v>937475.45</v>
      </c>
      <c r="L442" s="100">
        <v>44469</v>
      </c>
      <c r="M442" s="100">
        <v>44489</v>
      </c>
      <c r="N442" s="100">
        <v>44482</v>
      </c>
      <c r="O442" s="92" t="s">
        <v>774</v>
      </c>
      <c r="P442" s="92" t="s">
        <v>619</v>
      </c>
      <c r="Q442" s="92"/>
      <c r="R442" s="92"/>
      <c r="S442" s="92"/>
      <c r="T442" s="92" t="s">
        <v>2444</v>
      </c>
      <c r="U442" s="92" t="s">
        <v>2445</v>
      </c>
      <c r="V442" s="92" t="s">
        <v>606</v>
      </c>
      <c r="W442" s="92" t="s">
        <v>770</v>
      </c>
      <c r="X442" s="92" t="s">
        <v>1236</v>
      </c>
      <c r="Y442" s="92" t="s">
        <v>1433</v>
      </c>
      <c r="Z442" s="92" t="s">
        <v>925</v>
      </c>
      <c r="AA442" s="92" t="s">
        <v>2398</v>
      </c>
      <c r="AB442" s="92"/>
      <c r="AC442" s="92"/>
      <c r="AD442" s="92" t="s">
        <v>768</v>
      </c>
      <c r="AE442" s="92" t="s">
        <v>2397</v>
      </c>
    </row>
    <row r="443" spans="1:31" ht="12.75" customHeight="1">
      <c r="A443" s="92" t="s">
        <v>892</v>
      </c>
      <c r="B443" s="92" t="s">
        <v>50</v>
      </c>
      <c r="C443" s="92" t="s">
        <v>922</v>
      </c>
      <c r="D443" s="92"/>
      <c r="E443" s="204">
        <v>9949341</v>
      </c>
      <c r="F443" s="92" t="s">
        <v>768</v>
      </c>
      <c r="G443" s="263">
        <v>1411187</v>
      </c>
      <c r="H443" s="156" t="s">
        <v>769</v>
      </c>
      <c r="I443" s="263">
        <v>10</v>
      </c>
      <c r="J443" s="263">
        <v>21</v>
      </c>
      <c r="K443" s="265">
        <v>-937475.46</v>
      </c>
      <c r="L443" s="100">
        <v>44469</v>
      </c>
      <c r="M443" s="100">
        <v>44489</v>
      </c>
      <c r="N443" s="100">
        <v>44482</v>
      </c>
      <c r="O443" s="92" t="s">
        <v>2399</v>
      </c>
      <c r="P443" s="92" t="s">
        <v>619</v>
      </c>
      <c r="Q443" s="92"/>
      <c r="R443" s="92"/>
      <c r="S443" s="92"/>
      <c r="T443" s="92" t="s">
        <v>2444</v>
      </c>
      <c r="U443" s="92" t="s">
        <v>2445</v>
      </c>
      <c r="V443" s="92" t="s">
        <v>606</v>
      </c>
      <c r="W443" s="92" t="s">
        <v>770</v>
      </c>
      <c r="X443" s="92" t="s">
        <v>1236</v>
      </c>
      <c r="Y443" s="92" t="s">
        <v>1433</v>
      </c>
      <c r="Z443" s="92" t="s">
        <v>925</v>
      </c>
      <c r="AA443" s="92" t="s">
        <v>2398</v>
      </c>
      <c r="AB443" s="92"/>
      <c r="AC443" s="92"/>
      <c r="AD443" s="92" t="s">
        <v>768</v>
      </c>
      <c r="AE443" s="92" t="s">
        <v>2397</v>
      </c>
    </row>
    <row r="444" spans="1:31" ht="12.75" customHeight="1">
      <c r="A444" s="92" t="s">
        <v>892</v>
      </c>
      <c r="B444" s="92" t="s">
        <v>1001</v>
      </c>
      <c r="C444" s="92" t="s">
        <v>922</v>
      </c>
      <c r="D444" s="92"/>
      <c r="E444" s="204">
        <v>9948039</v>
      </c>
      <c r="F444" s="92" t="s">
        <v>768</v>
      </c>
      <c r="G444" s="263">
        <v>1410727</v>
      </c>
      <c r="H444" s="156" t="s">
        <v>769</v>
      </c>
      <c r="I444" s="263">
        <v>10</v>
      </c>
      <c r="J444" s="263">
        <v>21</v>
      </c>
      <c r="K444" s="265">
        <v>87500</v>
      </c>
      <c r="L444" s="100">
        <v>44475</v>
      </c>
      <c r="M444" s="100">
        <v>44480</v>
      </c>
      <c r="N444" s="100">
        <v>44480</v>
      </c>
      <c r="O444" s="92" t="s">
        <v>2171</v>
      </c>
      <c r="P444" s="92" t="s">
        <v>2172</v>
      </c>
      <c r="Q444" s="92"/>
      <c r="R444" s="92"/>
      <c r="S444" s="92"/>
      <c r="T444" s="92" t="s">
        <v>2358</v>
      </c>
      <c r="U444" s="92" t="s">
        <v>2446</v>
      </c>
      <c r="V444" s="92" t="s">
        <v>606</v>
      </c>
      <c r="W444" s="92" t="s">
        <v>770</v>
      </c>
      <c r="X444" s="92" t="s">
        <v>1236</v>
      </c>
      <c r="Y444" s="92" t="s">
        <v>778</v>
      </c>
      <c r="Z444" s="92" t="s">
        <v>1002</v>
      </c>
      <c r="AA444" s="92" t="s">
        <v>2176</v>
      </c>
      <c r="AB444" s="92"/>
      <c r="AC444" s="92"/>
      <c r="AD444" s="92"/>
      <c r="AE444" s="92" t="s">
        <v>2400</v>
      </c>
    </row>
    <row r="445" spans="1:31" ht="12.75" customHeight="1">
      <c r="A445" s="92" t="s">
        <v>892</v>
      </c>
      <c r="B445" s="92" t="s">
        <v>52</v>
      </c>
      <c r="C445" s="92" t="s">
        <v>922</v>
      </c>
      <c r="D445" s="92"/>
      <c r="E445" s="204">
        <v>9953395</v>
      </c>
      <c r="F445" s="92" t="s">
        <v>49</v>
      </c>
      <c r="G445" s="263">
        <v>18719213</v>
      </c>
      <c r="H445" s="156" t="s">
        <v>772</v>
      </c>
      <c r="I445" s="263">
        <v>10</v>
      </c>
      <c r="J445" s="263">
        <v>21</v>
      </c>
      <c r="K445" s="265">
        <v>295400</v>
      </c>
      <c r="L445" s="100">
        <v>44500</v>
      </c>
      <c r="M445" s="100">
        <v>44500</v>
      </c>
      <c r="N445" s="100">
        <v>44490</v>
      </c>
      <c r="O445" s="92" t="s">
        <v>2275</v>
      </c>
      <c r="P445" s="92" t="s">
        <v>2401</v>
      </c>
      <c r="Q445" s="92"/>
      <c r="R445" s="92"/>
      <c r="S445" s="92"/>
      <c r="T445" s="92" t="s">
        <v>2360</v>
      </c>
      <c r="U445" s="92">
        <v>0</v>
      </c>
      <c r="V445" s="92" t="s">
        <v>606</v>
      </c>
      <c r="W445" s="92" t="s">
        <v>770</v>
      </c>
      <c r="X445" s="92" t="s">
        <v>1014</v>
      </c>
      <c r="Y445" s="92" t="s">
        <v>778</v>
      </c>
      <c r="Z445" s="92" t="s">
        <v>782</v>
      </c>
      <c r="AA445" s="92" t="s">
        <v>2166</v>
      </c>
      <c r="AB445" s="92"/>
      <c r="AC445" s="92"/>
      <c r="AD445" s="92"/>
      <c r="AE445" s="92"/>
    </row>
    <row r="446" spans="1:31" ht="12.75" customHeight="1">
      <c r="A446" s="92" t="s">
        <v>892</v>
      </c>
      <c r="B446" s="92" t="s">
        <v>62</v>
      </c>
      <c r="C446" s="92" t="s">
        <v>922</v>
      </c>
      <c r="D446" s="92"/>
      <c r="E446" s="204">
        <v>9944596</v>
      </c>
      <c r="F446" s="92" t="s">
        <v>768</v>
      </c>
      <c r="G446" s="263">
        <v>1409396</v>
      </c>
      <c r="H446" s="156" t="s">
        <v>769</v>
      </c>
      <c r="I446" s="263">
        <v>10</v>
      </c>
      <c r="J446" s="263">
        <v>21</v>
      </c>
      <c r="K446" s="265">
        <v>191220</v>
      </c>
      <c r="L446" s="100">
        <v>44466</v>
      </c>
      <c r="M446" s="100">
        <v>44470</v>
      </c>
      <c r="N446" s="100">
        <v>44470</v>
      </c>
      <c r="O446" s="92" t="s">
        <v>2138</v>
      </c>
      <c r="P446" s="92" t="s">
        <v>647</v>
      </c>
      <c r="Q446" s="92"/>
      <c r="R446" s="92"/>
      <c r="S446" s="92"/>
      <c r="T446" s="92" t="s">
        <v>2365</v>
      </c>
      <c r="U446" s="92" t="s">
        <v>2447</v>
      </c>
      <c r="V446" s="92" t="s">
        <v>606</v>
      </c>
      <c r="W446" s="92" t="s">
        <v>770</v>
      </c>
      <c r="X446" s="92" t="s">
        <v>1236</v>
      </c>
      <c r="Y446" s="92" t="s">
        <v>778</v>
      </c>
      <c r="Z446" s="92" t="s">
        <v>914</v>
      </c>
      <c r="AA446" s="92" t="s">
        <v>2142</v>
      </c>
      <c r="AB446" s="92"/>
      <c r="AC446" s="92"/>
      <c r="AD446" s="92"/>
      <c r="AE446" s="92" t="s">
        <v>2402</v>
      </c>
    </row>
    <row r="447" spans="1:31" ht="12.75" customHeight="1">
      <c r="A447" s="92" t="s">
        <v>892</v>
      </c>
      <c r="B447" s="92" t="s">
        <v>62</v>
      </c>
      <c r="C447" s="92" t="s">
        <v>922</v>
      </c>
      <c r="D447" s="92"/>
      <c r="E447" s="204">
        <v>9946443</v>
      </c>
      <c r="F447" s="92" t="s">
        <v>768</v>
      </c>
      <c r="G447" s="263">
        <v>1410091</v>
      </c>
      <c r="H447" s="156" t="s">
        <v>769</v>
      </c>
      <c r="I447" s="263">
        <v>10</v>
      </c>
      <c r="J447" s="263">
        <v>21</v>
      </c>
      <c r="K447" s="265">
        <v>2046640</v>
      </c>
      <c r="L447" s="100">
        <v>44351</v>
      </c>
      <c r="M447" s="100">
        <v>44475</v>
      </c>
      <c r="N447" s="100">
        <v>44475</v>
      </c>
      <c r="O447" s="92" t="s">
        <v>2403</v>
      </c>
      <c r="P447" s="92" t="s">
        <v>2404</v>
      </c>
      <c r="Q447" s="92"/>
      <c r="R447" s="92"/>
      <c r="S447" s="92"/>
      <c r="T447" s="92" t="s">
        <v>2448</v>
      </c>
      <c r="U447" s="92" t="s">
        <v>2449</v>
      </c>
      <c r="V447" s="92" t="s">
        <v>606</v>
      </c>
      <c r="W447" s="92" t="s">
        <v>770</v>
      </c>
      <c r="X447" s="92" t="s">
        <v>1236</v>
      </c>
      <c r="Y447" s="92" t="s">
        <v>778</v>
      </c>
      <c r="Z447" s="92" t="s">
        <v>914</v>
      </c>
      <c r="AA447" s="92" t="s">
        <v>2406</v>
      </c>
      <c r="AB447" s="92"/>
      <c r="AC447" s="92"/>
      <c r="AD447" s="92"/>
      <c r="AE447" s="92" t="s">
        <v>2405</v>
      </c>
    </row>
    <row r="448" spans="1:31" ht="12.75" customHeight="1">
      <c r="A448" s="92" t="s">
        <v>892</v>
      </c>
      <c r="B448" s="92" t="s">
        <v>66</v>
      </c>
      <c r="C448" s="92" t="s">
        <v>922</v>
      </c>
      <c r="D448" s="92"/>
      <c r="E448" s="204">
        <v>9943744</v>
      </c>
      <c r="F448" s="92" t="s">
        <v>49</v>
      </c>
      <c r="G448" s="263">
        <v>18715714</v>
      </c>
      <c r="H448" s="156" t="s">
        <v>772</v>
      </c>
      <c r="I448" s="263">
        <v>10</v>
      </c>
      <c r="J448" s="263">
        <v>21</v>
      </c>
      <c r="K448" s="265">
        <v>-528425.5</v>
      </c>
      <c r="L448" s="100">
        <v>44500</v>
      </c>
      <c r="M448" s="100">
        <v>44500</v>
      </c>
      <c r="N448" s="100">
        <v>44468</v>
      </c>
      <c r="O448" s="92" t="s">
        <v>2407</v>
      </c>
      <c r="P448" s="92" t="s">
        <v>2408</v>
      </c>
      <c r="Q448" s="92"/>
      <c r="R448" s="92" t="s">
        <v>1251</v>
      </c>
      <c r="S448" s="92"/>
      <c r="T448" s="92" t="s">
        <v>2450</v>
      </c>
      <c r="U448" s="92">
        <v>0</v>
      </c>
      <c r="V448" s="92" t="s">
        <v>606</v>
      </c>
      <c r="W448" s="92" t="s">
        <v>770</v>
      </c>
      <c r="X448" s="92" t="s">
        <v>2409</v>
      </c>
      <c r="Y448" s="92" t="s">
        <v>778</v>
      </c>
      <c r="Z448" s="92" t="s">
        <v>783</v>
      </c>
      <c r="AA448" s="92" t="s">
        <v>2410</v>
      </c>
      <c r="AB448" s="92"/>
      <c r="AC448" s="92"/>
      <c r="AD448" s="92"/>
      <c r="AE448" s="92"/>
    </row>
    <row r="449" spans="1:31" ht="12.75" customHeight="1">
      <c r="A449" s="92" t="s">
        <v>892</v>
      </c>
      <c r="B449" s="92" t="s">
        <v>66</v>
      </c>
      <c r="C449" s="92" t="s">
        <v>922</v>
      </c>
      <c r="D449" s="92"/>
      <c r="E449" s="204">
        <v>9943774</v>
      </c>
      <c r="F449" s="92" t="s">
        <v>49</v>
      </c>
      <c r="G449" s="263">
        <v>18715715</v>
      </c>
      <c r="H449" s="156" t="s">
        <v>772</v>
      </c>
      <c r="I449" s="263">
        <v>10</v>
      </c>
      <c r="J449" s="263">
        <v>21</v>
      </c>
      <c r="K449" s="265">
        <v>-540000</v>
      </c>
      <c r="L449" s="100">
        <v>44500</v>
      </c>
      <c r="M449" s="100">
        <v>44500</v>
      </c>
      <c r="N449" s="100">
        <v>44468</v>
      </c>
      <c r="O449" s="92" t="s">
        <v>2411</v>
      </c>
      <c r="P449" s="92" t="s">
        <v>2408</v>
      </c>
      <c r="Q449" s="92"/>
      <c r="R449" s="92" t="s">
        <v>1251</v>
      </c>
      <c r="S449" s="92"/>
      <c r="T449" s="92" t="s">
        <v>2451</v>
      </c>
      <c r="U449" s="92">
        <v>0</v>
      </c>
      <c r="V449" s="92" t="s">
        <v>606</v>
      </c>
      <c r="W449" s="92" t="s">
        <v>770</v>
      </c>
      <c r="X449" s="92" t="s">
        <v>2409</v>
      </c>
      <c r="Y449" s="92" t="s">
        <v>778</v>
      </c>
      <c r="Z449" s="92" t="s">
        <v>783</v>
      </c>
      <c r="AA449" s="92" t="s">
        <v>2412</v>
      </c>
      <c r="AB449" s="92"/>
      <c r="AC449" s="92"/>
      <c r="AD449" s="92"/>
      <c r="AE449" s="92"/>
    </row>
    <row r="450" spans="1:31" ht="12.75" customHeight="1">
      <c r="A450" s="92" t="s">
        <v>892</v>
      </c>
      <c r="B450" s="92" t="s">
        <v>66</v>
      </c>
      <c r="C450" s="92" t="s">
        <v>922</v>
      </c>
      <c r="D450" s="92"/>
      <c r="E450" s="204">
        <v>9943794</v>
      </c>
      <c r="F450" s="92" t="s">
        <v>49</v>
      </c>
      <c r="G450" s="263">
        <v>18715716</v>
      </c>
      <c r="H450" s="156" t="s">
        <v>772</v>
      </c>
      <c r="I450" s="263">
        <v>10</v>
      </c>
      <c r="J450" s="263">
        <v>21</v>
      </c>
      <c r="K450" s="265">
        <v>-88270</v>
      </c>
      <c r="L450" s="100">
        <v>44500</v>
      </c>
      <c r="M450" s="100">
        <v>44500</v>
      </c>
      <c r="N450" s="100">
        <v>44468</v>
      </c>
      <c r="O450" s="92" t="s">
        <v>2413</v>
      </c>
      <c r="P450" s="92" t="s">
        <v>2414</v>
      </c>
      <c r="Q450" s="92"/>
      <c r="R450" s="92" t="s">
        <v>1251</v>
      </c>
      <c r="S450" s="92"/>
      <c r="T450" s="92" t="s">
        <v>2452</v>
      </c>
      <c r="U450" s="92">
        <v>0</v>
      </c>
      <c r="V450" s="92" t="s">
        <v>606</v>
      </c>
      <c r="W450" s="92" t="s">
        <v>770</v>
      </c>
      <c r="X450" s="92" t="s">
        <v>2409</v>
      </c>
      <c r="Y450" s="92" t="s">
        <v>778</v>
      </c>
      <c r="Z450" s="92" t="s">
        <v>783</v>
      </c>
      <c r="AA450" s="92" t="s">
        <v>2415</v>
      </c>
      <c r="AB450" s="92"/>
      <c r="AC450" s="92"/>
      <c r="AD450" s="92"/>
      <c r="AE450" s="92"/>
    </row>
    <row r="451" spans="1:31" ht="12.75" customHeight="1">
      <c r="A451" s="92" t="s">
        <v>620</v>
      </c>
      <c r="B451" s="92" t="s">
        <v>57</v>
      </c>
      <c r="C451" s="92" t="s">
        <v>922</v>
      </c>
      <c r="D451" s="92"/>
      <c r="E451" s="204">
        <v>9947720</v>
      </c>
      <c r="F451" s="92" t="s">
        <v>768</v>
      </c>
      <c r="G451" s="263">
        <v>1410649</v>
      </c>
      <c r="H451" s="156" t="s">
        <v>769</v>
      </c>
      <c r="I451" s="263">
        <v>10</v>
      </c>
      <c r="J451" s="263">
        <v>21</v>
      </c>
      <c r="K451" s="265">
        <v>141780.5</v>
      </c>
      <c r="L451" s="100">
        <v>44408</v>
      </c>
      <c r="M451" s="100">
        <v>44477</v>
      </c>
      <c r="N451" s="100">
        <v>44477</v>
      </c>
      <c r="O451" s="92" t="s">
        <v>2416</v>
      </c>
      <c r="P451" s="92" t="s">
        <v>816</v>
      </c>
      <c r="Q451" s="92"/>
      <c r="R451" s="92"/>
      <c r="S451" s="92"/>
      <c r="T451" s="92" t="s">
        <v>2453</v>
      </c>
      <c r="U451" s="92" t="s">
        <v>2454</v>
      </c>
      <c r="V451" s="92" t="s">
        <v>606</v>
      </c>
      <c r="W451" s="92" t="s">
        <v>770</v>
      </c>
      <c r="X451" s="92" t="s">
        <v>1236</v>
      </c>
      <c r="Y451" s="92" t="s">
        <v>778</v>
      </c>
      <c r="Z451" s="92" t="s">
        <v>932</v>
      </c>
      <c r="AA451" s="92" t="s">
        <v>1403</v>
      </c>
      <c r="AB451" s="92"/>
      <c r="AC451" s="92"/>
      <c r="AD451" s="92"/>
      <c r="AE451" s="92" t="s">
        <v>2417</v>
      </c>
    </row>
    <row r="452" spans="1:31" ht="12.75" customHeight="1">
      <c r="A452" s="92" t="s">
        <v>620</v>
      </c>
      <c r="B452" s="92" t="s">
        <v>57</v>
      </c>
      <c r="C452" s="92" t="s">
        <v>922</v>
      </c>
      <c r="D452" s="92"/>
      <c r="E452" s="204">
        <v>9941235</v>
      </c>
      <c r="F452" s="92" t="s">
        <v>49</v>
      </c>
      <c r="G452" s="263">
        <v>18715416</v>
      </c>
      <c r="H452" s="156" t="s">
        <v>772</v>
      </c>
      <c r="I452" s="263">
        <v>10</v>
      </c>
      <c r="J452" s="263">
        <v>21</v>
      </c>
      <c r="K452" s="265">
        <v>-46000</v>
      </c>
      <c r="L452" s="100">
        <v>44500</v>
      </c>
      <c r="M452" s="100">
        <v>44500</v>
      </c>
      <c r="N452" s="100">
        <v>44461</v>
      </c>
      <c r="O452" s="92" t="s">
        <v>2418</v>
      </c>
      <c r="P452" s="92" t="s">
        <v>2419</v>
      </c>
      <c r="Q452" s="92"/>
      <c r="R452" s="92" t="s">
        <v>1251</v>
      </c>
      <c r="S452" s="92"/>
      <c r="T452" s="92" t="s">
        <v>2455</v>
      </c>
      <c r="U452" s="92">
        <v>0</v>
      </c>
      <c r="V452" s="92" t="s">
        <v>606</v>
      </c>
      <c r="W452" s="92" t="s">
        <v>770</v>
      </c>
      <c r="X452" s="92" t="s">
        <v>1772</v>
      </c>
      <c r="Y452" s="92" t="s">
        <v>778</v>
      </c>
      <c r="Z452" s="92" t="s">
        <v>932</v>
      </c>
      <c r="AA452" s="92" t="s">
        <v>2420</v>
      </c>
      <c r="AB452" s="92"/>
      <c r="AC452" s="92"/>
      <c r="AD452" s="92"/>
      <c r="AE452" s="92"/>
    </row>
    <row r="453" spans="1:31" ht="12.75" customHeight="1">
      <c r="A453" s="92" t="s">
        <v>620</v>
      </c>
      <c r="B453" s="92" t="s">
        <v>57</v>
      </c>
      <c r="C453" s="92" t="s">
        <v>922</v>
      </c>
      <c r="D453" s="92"/>
      <c r="E453" s="204">
        <v>9944464</v>
      </c>
      <c r="F453" s="92" t="s">
        <v>49</v>
      </c>
      <c r="G453" s="263">
        <v>18715735</v>
      </c>
      <c r="H453" s="156" t="s">
        <v>772</v>
      </c>
      <c r="I453" s="263">
        <v>10</v>
      </c>
      <c r="J453" s="263">
        <v>21</v>
      </c>
      <c r="K453" s="265">
        <v>-100000</v>
      </c>
      <c r="L453" s="100">
        <v>44500</v>
      </c>
      <c r="M453" s="100">
        <v>44500</v>
      </c>
      <c r="N453" s="100">
        <v>44470</v>
      </c>
      <c r="O453" s="92" t="s">
        <v>2421</v>
      </c>
      <c r="P453" s="92" t="s">
        <v>2421</v>
      </c>
      <c r="Q453" s="92"/>
      <c r="R453" s="92" t="s">
        <v>1251</v>
      </c>
      <c r="S453" s="92"/>
      <c r="T453" s="92" t="s">
        <v>2456</v>
      </c>
      <c r="U453" s="92">
        <v>0</v>
      </c>
      <c r="V453" s="92" t="s">
        <v>606</v>
      </c>
      <c r="W453" s="92" t="s">
        <v>770</v>
      </c>
      <c r="X453" s="92" t="s">
        <v>1772</v>
      </c>
      <c r="Y453" s="92" t="s">
        <v>778</v>
      </c>
      <c r="Z453" s="92" t="s">
        <v>932</v>
      </c>
      <c r="AA453" s="92" t="s">
        <v>2422</v>
      </c>
      <c r="AB453" s="92"/>
      <c r="AC453" s="92"/>
      <c r="AD453" s="92"/>
      <c r="AE453" s="92"/>
    </row>
    <row r="454" spans="1:31" ht="12.75" customHeight="1">
      <c r="A454" s="92" t="s">
        <v>620</v>
      </c>
      <c r="B454" s="92" t="s">
        <v>57</v>
      </c>
      <c r="C454" s="92" t="s">
        <v>922</v>
      </c>
      <c r="D454" s="92"/>
      <c r="E454" s="204">
        <v>9955184</v>
      </c>
      <c r="F454" s="92" t="s">
        <v>49</v>
      </c>
      <c r="G454" s="263">
        <v>18760130</v>
      </c>
      <c r="H454" s="156" t="s">
        <v>772</v>
      </c>
      <c r="I454" s="263">
        <v>10</v>
      </c>
      <c r="J454" s="263">
        <v>21</v>
      </c>
      <c r="K454" s="265">
        <v>150000</v>
      </c>
      <c r="L454" s="100">
        <v>44500</v>
      </c>
      <c r="M454" s="100">
        <v>44500</v>
      </c>
      <c r="N454" s="100">
        <v>44496</v>
      </c>
      <c r="O454" s="92" t="s">
        <v>2300</v>
      </c>
      <c r="P454" s="92" t="s">
        <v>2489</v>
      </c>
      <c r="Q454" s="92"/>
      <c r="R454" s="92" t="s">
        <v>1251</v>
      </c>
      <c r="S454" s="92"/>
      <c r="T454" s="92" t="s">
        <v>2376</v>
      </c>
      <c r="U454" s="92">
        <v>0</v>
      </c>
      <c r="V454" s="92" t="s">
        <v>606</v>
      </c>
      <c r="W454" s="92" t="s">
        <v>770</v>
      </c>
      <c r="X454" s="92" t="s">
        <v>1772</v>
      </c>
      <c r="Y454" s="92" t="s">
        <v>778</v>
      </c>
      <c r="Z454" s="92" t="s">
        <v>932</v>
      </c>
      <c r="AA454" s="92" t="s">
        <v>2302</v>
      </c>
      <c r="AB454" s="92"/>
      <c r="AC454" s="92"/>
      <c r="AD454" s="92"/>
      <c r="AE454" s="92"/>
    </row>
    <row r="455" spans="1:31" ht="12.75" customHeight="1">
      <c r="A455" s="92" t="s">
        <v>620</v>
      </c>
      <c r="B455" s="92" t="s">
        <v>59</v>
      </c>
      <c r="C455" s="92" t="s">
        <v>922</v>
      </c>
      <c r="D455" s="92"/>
      <c r="E455" s="204">
        <v>9954518</v>
      </c>
      <c r="F455" s="92" t="s">
        <v>49</v>
      </c>
      <c r="G455" s="263">
        <v>18719363</v>
      </c>
      <c r="H455" s="156" t="s">
        <v>772</v>
      </c>
      <c r="I455" s="263">
        <v>10</v>
      </c>
      <c r="J455" s="263">
        <v>21</v>
      </c>
      <c r="K455" s="265">
        <v>-37500</v>
      </c>
      <c r="L455" s="100">
        <v>44482</v>
      </c>
      <c r="M455" s="100">
        <v>44482</v>
      </c>
      <c r="N455" s="100">
        <v>44494</v>
      </c>
      <c r="O455" s="92" t="s">
        <v>2423</v>
      </c>
      <c r="P455" s="92" t="s">
        <v>2424</v>
      </c>
      <c r="Q455" s="92"/>
      <c r="R455" s="92" t="s">
        <v>773</v>
      </c>
      <c r="S455" s="92"/>
      <c r="T455" s="92" t="s">
        <v>2457</v>
      </c>
      <c r="U455" s="92">
        <v>0</v>
      </c>
      <c r="V455" s="92" t="s">
        <v>606</v>
      </c>
      <c r="W455" s="92" t="s">
        <v>770</v>
      </c>
      <c r="X455" s="92" t="s">
        <v>1252</v>
      </c>
      <c r="Y455" s="92" t="s">
        <v>1281</v>
      </c>
      <c r="Z455" s="92" t="s">
        <v>909</v>
      </c>
      <c r="AA455" s="92"/>
      <c r="AB455" s="92"/>
      <c r="AC455" s="92"/>
      <c r="AD455" s="92"/>
      <c r="AE455" s="92"/>
    </row>
    <row r="456" spans="1:31" ht="12.75" customHeight="1">
      <c r="A456" s="92" t="s">
        <v>620</v>
      </c>
      <c r="B456" s="92" t="s">
        <v>59</v>
      </c>
      <c r="C456" s="92" t="s">
        <v>922</v>
      </c>
      <c r="D456" s="92"/>
      <c r="E456" s="204">
        <v>9954518</v>
      </c>
      <c r="F456" s="92" t="s">
        <v>49</v>
      </c>
      <c r="G456" s="263">
        <v>18719363</v>
      </c>
      <c r="H456" s="156" t="s">
        <v>772</v>
      </c>
      <c r="I456" s="263">
        <v>10</v>
      </c>
      <c r="J456" s="263">
        <v>21</v>
      </c>
      <c r="K456" s="265">
        <v>-37500</v>
      </c>
      <c r="L456" s="100">
        <v>44482</v>
      </c>
      <c r="M456" s="100">
        <v>44482</v>
      </c>
      <c r="N456" s="100">
        <v>44494</v>
      </c>
      <c r="O456" s="92" t="s">
        <v>2423</v>
      </c>
      <c r="P456" s="92" t="s">
        <v>2424</v>
      </c>
      <c r="Q456" s="92"/>
      <c r="R456" s="92" t="s">
        <v>773</v>
      </c>
      <c r="S456" s="92"/>
      <c r="T456" s="92" t="s">
        <v>2458</v>
      </c>
      <c r="U456" s="92">
        <v>0</v>
      </c>
      <c r="V456" s="92" t="s">
        <v>606</v>
      </c>
      <c r="W456" s="92" t="s">
        <v>770</v>
      </c>
      <c r="X456" s="92" t="s">
        <v>1252</v>
      </c>
      <c r="Y456" s="92" t="s">
        <v>1281</v>
      </c>
      <c r="Z456" s="92" t="s">
        <v>909</v>
      </c>
      <c r="AA456" s="92" t="s">
        <v>1702</v>
      </c>
      <c r="AB456" s="92"/>
      <c r="AC456" s="92"/>
      <c r="AD456" s="92"/>
      <c r="AE456" s="92"/>
    </row>
    <row r="457" spans="1:31" ht="12.75" customHeight="1">
      <c r="A457" s="92" t="s">
        <v>620</v>
      </c>
      <c r="B457" s="92" t="s">
        <v>59</v>
      </c>
      <c r="C457" s="92" t="s">
        <v>922</v>
      </c>
      <c r="D457" s="92"/>
      <c r="E457" s="204">
        <v>9954518</v>
      </c>
      <c r="F457" s="92" t="s">
        <v>49</v>
      </c>
      <c r="G457" s="263">
        <v>18719363</v>
      </c>
      <c r="H457" s="156" t="s">
        <v>772</v>
      </c>
      <c r="I457" s="263">
        <v>10</v>
      </c>
      <c r="J457" s="263">
        <v>21</v>
      </c>
      <c r="K457" s="265">
        <v>-75000</v>
      </c>
      <c r="L457" s="100">
        <v>44482</v>
      </c>
      <c r="M457" s="100">
        <v>44482</v>
      </c>
      <c r="N457" s="100">
        <v>44494</v>
      </c>
      <c r="O457" s="92" t="s">
        <v>2423</v>
      </c>
      <c r="P457" s="92" t="s">
        <v>2424</v>
      </c>
      <c r="Q457" s="92"/>
      <c r="R457" s="92" t="s">
        <v>773</v>
      </c>
      <c r="S457" s="92"/>
      <c r="T457" s="92" t="s">
        <v>2458</v>
      </c>
      <c r="U457" s="92">
        <v>0</v>
      </c>
      <c r="V457" s="92" t="s">
        <v>606</v>
      </c>
      <c r="W457" s="92" t="s">
        <v>770</v>
      </c>
      <c r="X457" s="92" t="s">
        <v>1252</v>
      </c>
      <c r="Y457" s="92" t="s">
        <v>1281</v>
      </c>
      <c r="Z457" s="92" t="s">
        <v>909</v>
      </c>
      <c r="AA457" s="92" t="s">
        <v>1702</v>
      </c>
      <c r="AB457" s="92"/>
      <c r="AC457" s="92"/>
      <c r="AD457" s="92"/>
      <c r="AE457" s="92"/>
    </row>
    <row r="458" spans="1:31" ht="12.75" customHeight="1">
      <c r="A458" s="92" t="s">
        <v>620</v>
      </c>
      <c r="B458" s="92" t="s">
        <v>59</v>
      </c>
      <c r="C458" s="92" t="s">
        <v>922</v>
      </c>
      <c r="D458" s="92"/>
      <c r="E458" s="204">
        <v>9954518</v>
      </c>
      <c r="F458" s="92" t="s">
        <v>49</v>
      </c>
      <c r="G458" s="263">
        <v>18719363</v>
      </c>
      <c r="H458" s="156" t="s">
        <v>772</v>
      </c>
      <c r="I458" s="263">
        <v>10</v>
      </c>
      <c r="J458" s="263">
        <v>21</v>
      </c>
      <c r="K458" s="265">
        <v>37500</v>
      </c>
      <c r="L458" s="100">
        <v>44482</v>
      </c>
      <c r="M458" s="100">
        <v>44482</v>
      </c>
      <c r="N458" s="100">
        <v>44494</v>
      </c>
      <c r="O458" s="92" t="s">
        <v>2423</v>
      </c>
      <c r="P458" s="92" t="s">
        <v>2424</v>
      </c>
      <c r="Q458" s="92"/>
      <c r="R458" s="92" t="s">
        <v>773</v>
      </c>
      <c r="S458" s="92"/>
      <c r="T458" s="92" t="s">
        <v>2458</v>
      </c>
      <c r="U458" s="92">
        <v>0</v>
      </c>
      <c r="V458" s="92" t="s">
        <v>606</v>
      </c>
      <c r="W458" s="92" t="s">
        <v>770</v>
      </c>
      <c r="X458" s="92" t="s">
        <v>1252</v>
      </c>
      <c r="Y458" s="92" t="s">
        <v>1281</v>
      </c>
      <c r="Z458" s="92" t="s">
        <v>909</v>
      </c>
      <c r="AA458" s="92" t="s">
        <v>2092</v>
      </c>
      <c r="AB458" s="92"/>
      <c r="AC458" s="92"/>
      <c r="AD458" s="92"/>
      <c r="AE458" s="92"/>
    </row>
    <row r="459" spans="1:31" ht="12.75" customHeight="1">
      <c r="A459" s="92" t="s">
        <v>620</v>
      </c>
      <c r="B459" s="92" t="s">
        <v>59</v>
      </c>
      <c r="C459" s="92" t="s">
        <v>922</v>
      </c>
      <c r="D459" s="92"/>
      <c r="E459" s="204">
        <v>9954518</v>
      </c>
      <c r="F459" s="92" t="s">
        <v>49</v>
      </c>
      <c r="G459" s="263">
        <v>18719363</v>
      </c>
      <c r="H459" s="156" t="s">
        <v>772</v>
      </c>
      <c r="I459" s="263">
        <v>10</v>
      </c>
      <c r="J459" s="263">
        <v>21</v>
      </c>
      <c r="K459" s="265">
        <v>75000</v>
      </c>
      <c r="L459" s="100">
        <v>44482</v>
      </c>
      <c r="M459" s="100">
        <v>44482</v>
      </c>
      <c r="N459" s="100">
        <v>44494</v>
      </c>
      <c r="O459" s="92" t="s">
        <v>2423</v>
      </c>
      <c r="P459" s="92" t="s">
        <v>2424</v>
      </c>
      <c r="Q459" s="92"/>
      <c r="R459" s="92" t="s">
        <v>773</v>
      </c>
      <c r="S459" s="92"/>
      <c r="T459" s="92" t="s">
        <v>2458</v>
      </c>
      <c r="U459" s="92">
        <v>0</v>
      </c>
      <c r="V459" s="92" t="s">
        <v>606</v>
      </c>
      <c r="W459" s="92" t="s">
        <v>770</v>
      </c>
      <c r="X459" s="92" t="s">
        <v>1252</v>
      </c>
      <c r="Y459" s="92" t="s">
        <v>1281</v>
      </c>
      <c r="Z459" s="92" t="s">
        <v>909</v>
      </c>
      <c r="AA459" s="92" t="s">
        <v>2092</v>
      </c>
      <c r="AB459" s="92"/>
      <c r="AC459" s="92"/>
      <c r="AD459" s="92"/>
      <c r="AE459" s="92"/>
    </row>
    <row r="460" spans="1:31" ht="12.75" customHeight="1">
      <c r="A460" s="92" t="s">
        <v>620</v>
      </c>
      <c r="B460" s="92" t="s">
        <v>59</v>
      </c>
      <c r="C460" s="92" t="s">
        <v>922</v>
      </c>
      <c r="D460" s="92"/>
      <c r="E460" s="204">
        <v>9954518</v>
      </c>
      <c r="F460" s="92" t="s">
        <v>49</v>
      </c>
      <c r="G460" s="263">
        <v>18719363</v>
      </c>
      <c r="H460" s="156" t="s">
        <v>772</v>
      </c>
      <c r="I460" s="263">
        <v>10</v>
      </c>
      <c r="J460" s="263">
        <v>21</v>
      </c>
      <c r="K460" s="265">
        <v>-37500</v>
      </c>
      <c r="L460" s="100">
        <v>44482</v>
      </c>
      <c r="M460" s="100">
        <v>44482</v>
      </c>
      <c r="N460" s="100">
        <v>44494</v>
      </c>
      <c r="O460" s="92" t="s">
        <v>2423</v>
      </c>
      <c r="P460" s="92" t="s">
        <v>2424</v>
      </c>
      <c r="Q460" s="92"/>
      <c r="R460" s="92" t="s">
        <v>773</v>
      </c>
      <c r="S460" s="92"/>
      <c r="T460" s="92" t="s">
        <v>2458</v>
      </c>
      <c r="U460" s="92">
        <v>0</v>
      </c>
      <c r="V460" s="92" t="s">
        <v>606</v>
      </c>
      <c r="W460" s="92" t="s">
        <v>770</v>
      </c>
      <c r="X460" s="92" t="s">
        <v>1252</v>
      </c>
      <c r="Y460" s="92" t="s">
        <v>1281</v>
      </c>
      <c r="Z460" s="92" t="s">
        <v>909</v>
      </c>
      <c r="AA460" s="92" t="s">
        <v>2092</v>
      </c>
      <c r="AB460" s="92"/>
      <c r="AC460" s="92"/>
      <c r="AD460" s="92"/>
      <c r="AE460" s="92"/>
    </row>
    <row r="461" spans="1:31" ht="12.75" customHeight="1">
      <c r="A461" s="92" t="s">
        <v>620</v>
      </c>
      <c r="B461" s="92" t="s">
        <v>60</v>
      </c>
      <c r="C461" s="92" t="s">
        <v>922</v>
      </c>
      <c r="D461" s="92"/>
      <c r="E461" s="204">
        <v>9929348</v>
      </c>
      <c r="F461" s="92" t="s">
        <v>49</v>
      </c>
      <c r="G461" s="263">
        <v>18603701</v>
      </c>
      <c r="H461" s="156" t="s">
        <v>772</v>
      </c>
      <c r="I461" s="263">
        <v>10</v>
      </c>
      <c r="J461" s="263">
        <v>21</v>
      </c>
      <c r="K461" s="265">
        <v>50000</v>
      </c>
      <c r="L461" s="100">
        <v>44469</v>
      </c>
      <c r="M461" s="100">
        <v>44470</v>
      </c>
      <c r="N461" s="100">
        <v>44434</v>
      </c>
      <c r="O461" s="92" t="s">
        <v>2303</v>
      </c>
      <c r="P461" s="92" t="s">
        <v>2304</v>
      </c>
      <c r="Q461" s="92"/>
      <c r="R461" s="92"/>
      <c r="S461" s="92"/>
      <c r="T461" s="92" t="s">
        <v>1211</v>
      </c>
      <c r="U461" s="92">
        <v>0</v>
      </c>
      <c r="V461" s="92" t="s">
        <v>606</v>
      </c>
      <c r="W461" s="92" t="s">
        <v>770</v>
      </c>
      <c r="X461" s="92" t="s">
        <v>1346</v>
      </c>
      <c r="Y461" s="92" t="s">
        <v>1281</v>
      </c>
      <c r="Z461" s="92" t="s">
        <v>913</v>
      </c>
      <c r="AA461" s="92" t="s">
        <v>1210</v>
      </c>
      <c r="AB461" s="92"/>
      <c r="AC461" s="92"/>
      <c r="AD461" s="92" t="s">
        <v>652</v>
      </c>
      <c r="AE461" s="92"/>
    </row>
    <row r="462" spans="1:31" ht="12.75" customHeight="1">
      <c r="A462" s="92" t="s">
        <v>620</v>
      </c>
      <c r="B462" s="92" t="s">
        <v>60</v>
      </c>
      <c r="C462" s="92" t="s">
        <v>922</v>
      </c>
      <c r="D462" s="92"/>
      <c r="E462" s="204">
        <v>9948040</v>
      </c>
      <c r="F462" s="92" t="s">
        <v>768</v>
      </c>
      <c r="G462" s="263">
        <v>1410728</v>
      </c>
      <c r="H462" s="156" t="s">
        <v>769</v>
      </c>
      <c r="I462" s="263">
        <v>10</v>
      </c>
      <c r="J462" s="263">
        <v>21</v>
      </c>
      <c r="K462" s="265">
        <v>50000</v>
      </c>
      <c r="L462" s="100">
        <v>44251</v>
      </c>
      <c r="M462" s="100">
        <v>44480</v>
      </c>
      <c r="N462" s="100">
        <v>44480</v>
      </c>
      <c r="O462" s="92" t="s">
        <v>2425</v>
      </c>
      <c r="P462" s="92" t="s">
        <v>1233</v>
      </c>
      <c r="Q462" s="92"/>
      <c r="R462" s="92"/>
      <c r="S462" s="92"/>
      <c r="T462" s="92" t="s">
        <v>2459</v>
      </c>
      <c r="U462" s="92" t="s">
        <v>2460</v>
      </c>
      <c r="V462" s="92" t="s">
        <v>606</v>
      </c>
      <c r="W462" s="92" t="s">
        <v>770</v>
      </c>
      <c r="X462" s="92" t="s">
        <v>1236</v>
      </c>
      <c r="Y462" s="92" t="s">
        <v>778</v>
      </c>
      <c r="Z462" s="92" t="s">
        <v>913</v>
      </c>
      <c r="AA462" s="92" t="s">
        <v>1210</v>
      </c>
      <c r="AB462" s="92"/>
      <c r="AC462" s="92"/>
      <c r="AD462" s="92"/>
      <c r="AE462" s="92" t="s">
        <v>2426</v>
      </c>
    </row>
    <row r="463" spans="1:31" ht="12.75" customHeight="1">
      <c r="A463" s="92" t="s">
        <v>620</v>
      </c>
      <c r="B463" s="92" t="s">
        <v>55</v>
      </c>
      <c r="C463" s="92" t="s">
        <v>922</v>
      </c>
      <c r="D463" s="92"/>
      <c r="E463" s="204">
        <v>9937969</v>
      </c>
      <c r="F463" s="92" t="s">
        <v>49</v>
      </c>
      <c r="G463" s="263">
        <v>18714511</v>
      </c>
      <c r="H463" s="156" t="s">
        <v>772</v>
      </c>
      <c r="I463" s="263">
        <v>10</v>
      </c>
      <c r="J463" s="263">
        <v>21</v>
      </c>
      <c r="K463" s="265">
        <v>-412500</v>
      </c>
      <c r="L463" s="100">
        <v>44470</v>
      </c>
      <c r="M463" s="100">
        <v>44470</v>
      </c>
      <c r="N463" s="100">
        <v>44453</v>
      </c>
      <c r="O463" s="92" t="s">
        <v>2427</v>
      </c>
      <c r="P463" s="92" t="s">
        <v>2427</v>
      </c>
      <c r="Q463" s="92"/>
      <c r="R463" s="92" t="s">
        <v>773</v>
      </c>
      <c r="S463" s="92"/>
      <c r="T463" s="92" t="s">
        <v>2461</v>
      </c>
      <c r="U463" s="92">
        <v>0</v>
      </c>
      <c r="V463" s="92" t="s">
        <v>606</v>
      </c>
      <c r="W463" s="92" t="s">
        <v>770</v>
      </c>
      <c r="X463" s="92" t="s">
        <v>1252</v>
      </c>
      <c r="Y463" s="92" t="s">
        <v>1281</v>
      </c>
      <c r="Z463" s="92" t="s">
        <v>779</v>
      </c>
      <c r="AA463" s="92" t="s">
        <v>2428</v>
      </c>
      <c r="AB463" s="92"/>
      <c r="AC463" s="92"/>
      <c r="AD463" s="92"/>
      <c r="AE463" s="92"/>
    </row>
    <row r="464" spans="1:31" ht="12.75" customHeight="1">
      <c r="A464" s="92" t="s">
        <v>620</v>
      </c>
      <c r="B464" s="92" t="s">
        <v>55</v>
      </c>
      <c r="C464" s="92" t="s">
        <v>922</v>
      </c>
      <c r="D464" s="92"/>
      <c r="E464" s="204">
        <v>9937971</v>
      </c>
      <c r="F464" s="92" t="s">
        <v>49</v>
      </c>
      <c r="G464" s="263">
        <v>18714512</v>
      </c>
      <c r="H464" s="156" t="s">
        <v>772</v>
      </c>
      <c r="I464" s="263">
        <v>10</v>
      </c>
      <c r="J464" s="263">
        <v>21</v>
      </c>
      <c r="K464" s="265">
        <v>-150000</v>
      </c>
      <c r="L464" s="100">
        <v>44470</v>
      </c>
      <c r="M464" s="100">
        <v>44470</v>
      </c>
      <c r="N464" s="100">
        <v>44453</v>
      </c>
      <c r="O464" s="92" t="s">
        <v>2429</v>
      </c>
      <c r="P464" s="92" t="s">
        <v>2429</v>
      </c>
      <c r="Q464" s="92"/>
      <c r="R464" s="92" t="s">
        <v>773</v>
      </c>
      <c r="S464" s="92"/>
      <c r="T464" s="92" t="s">
        <v>2462</v>
      </c>
      <c r="U464" s="92">
        <v>0</v>
      </c>
      <c r="V464" s="92" t="s">
        <v>606</v>
      </c>
      <c r="W464" s="92" t="s">
        <v>770</v>
      </c>
      <c r="X464" s="92" t="s">
        <v>1252</v>
      </c>
      <c r="Y464" s="92" t="s">
        <v>1281</v>
      </c>
      <c r="Z464" s="92" t="s">
        <v>779</v>
      </c>
      <c r="AA464" s="92" t="s">
        <v>2430</v>
      </c>
      <c r="AB464" s="92"/>
      <c r="AC464" s="92"/>
      <c r="AD464" s="92"/>
      <c r="AE464" s="92"/>
    </row>
    <row r="465" spans="1:32" ht="12.75" customHeight="1">
      <c r="A465" s="92" t="s">
        <v>620</v>
      </c>
      <c r="B465" s="92" t="s">
        <v>55</v>
      </c>
      <c r="C465" s="92" t="s">
        <v>922</v>
      </c>
      <c r="D465" s="92"/>
      <c r="E465" s="204">
        <v>9952970</v>
      </c>
      <c r="F465" s="92" t="s">
        <v>49</v>
      </c>
      <c r="G465" s="263">
        <v>18719148</v>
      </c>
      <c r="H465" s="156" t="s">
        <v>772</v>
      </c>
      <c r="I465" s="263">
        <v>10</v>
      </c>
      <c r="J465" s="263">
        <v>21</v>
      </c>
      <c r="K465" s="265">
        <v>-325000</v>
      </c>
      <c r="L465" s="100">
        <v>44489</v>
      </c>
      <c r="M465" s="100">
        <v>44489</v>
      </c>
      <c r="N465" s="100">
        <v>44489</v>
      </c>
      <c r="O465" s="92" t="s">
        <v>2431</v>
      </c>
      <c r="P465" s="92" t="s">
        <v>2431</v>
      </c>
      <c r="Q465" s="92"/>
      <c r="R465" s="92" t="s">
        <v>773</v>
      </c>
      <c r="S465" s="92"/>
      <c r="T465" s="92" t="s">
        <v>2463</v>
      </c>
      <c r="U465" s="92">
        <v>0</v>
      </c>
      <c r="V465" s="92" t="s">
        <v>606</v>
      </c>
      <c r="W465" s="92" t="s">
        <v>770</v>
      </c>
      <c r="X465" s="92" t="s">
        <v>1252</v>
      </c>
      <c r="Y465" s="92" t="s">
        <v>1281</v>
      </c>
      <c r="Z465" s="92" t="s">
        <v>779</v>
      </c>
      <c r="AA465" s="92" t="s">
        <v>2432</v>
      </c>
      <c r="AB465" s="92"/>
      <c r="AC465" s="92"/>
      <c r="AD465" s="92"/>
      <c r="AE465" s="92"/>
    </row>
    <row r="466" spans="1:32" ht="12.75" customHeight="1">
      <c r="A466" s="92" t="s">
        <v>620</v>
      </c>
      <c r="B466" s="92" t="s">
        <v>65</v>
      </c>
      <c r="C466" s="92" t="s">
        <v>922</v>
      </c>
      <c r="D466" s="92"/>
      <c r="E466" s="204">
        <v>9947775</v>
      </c>
      <c r="F466" s="92" t="s">
        <v>768</v>
      </c>
      <c r="G466" s="263">
        <v>1410704</v>
      </c>
      <c r="H466" s="156" t="s">
        <v>769</v>
      </c>
      <c r="I466" s="263">
        <v>10</v>
      </c>
      <c r="J466" s="263">
        <v>21</v>
      </c>
      <c r="K466" s="265">
        <v>63000</v>
      </c>
      <c r="L466" s="100">
        <v>44396</v>
      </c>
      <c r="M466" s="100">
        <v>44477</v>
      </c>
      <c r="N466" s="100">
        <v>44477</v>
      </c>
      <c r="O466" s="92" t="s">
        <v>2433</v>
      </c>
      <c r="P466" s="92" t="s">
        <v>626</v>
      </c>
      <c r="Q466" s="92"/>
      <c r="R466" s="92"/>
      <c r="S466" s="92"/>
      <c r="T466" s="92" t="s">
        <v>2464</v>
      </c>
      <c r="U466" s="92" t="s">
        <v>2465</v>
      </c>
      <c r="V466" s="92" t="s">
        <v>606</v>
      </c>
      <c r="W466" s="92" t="s">
        <v>770</v>
      </c>
      <c r="X466" s="92" t="s">
        <v>1236</v>
      </c>
      <c r="Y466" s="92" t="s">
        <v>778</v>
      </c>
      <c r="Z466" s="92" t="s">
        <v>780</v>
      </c>
      <c r="AA466" s="92" t="s">
        <v>2435</v>
      </c>
      <c r="AB466" s="92"/>
      <c r="AC466" s="92"/>
      <c r="AD466" s="92"/>
      <c r="AE466" s="92" t="s">
        <v>2434</v>
      </c>
    </row>
    <row r="467" spans="1:32" ht="12.75" customHeight="1">
      <c r="A467" s="98" t="s">
        <v>620</v>
      </c>
      <c r="B467" s="98" t="s">
        <v>65</v>
      </c>
      <c r="C467" s="98" t="s">
        <v>922</v>
      </c>
      <c r="D467" s="98"/>
      <c r="E467" s="204">
        <v>9948041</v>
      </c>
      <c r="F467" s="92" t="s">
        <v>768</v>
      </c>
      <c r="G467" s="263">
        <v>1410729</v>
      </c>
      <c r="H467" s="156" t="s">
        <v>769</v>
      </c>
      <c r="I467" s="263">
        <v>10</v>
      </c>
      <c r="J467" s="263">
        <v>21</v>
      </c>
      <c r="K467" s="266">
        <v>7000</v>
      </c>
      <c r="L467" s="101">
        <v>44460</v>
      </c>
      <c r="M467" s="101">
        <v>44480</v>
      </c>
      <c r="N467" s="101">
        <v>44480</v>
      </c>
      <c r="O467" s="98" t="s">
        <v>2433</v>
      </c>
      <c r="P467" s="98" t="s">
        <v>626</v>
      </c>
      <c r="Q467" s="98"/>
      <c r="R467" s="98"/>
      <c r="S467" s="98"/>
      <c r="T467" s="98" t="s">
        <v>2464</v>
      </c>
      <c r="U467" s="98" t="s">
        <v>2465</v>
      </c>
      <c r="V467" s="98" t="s">
        <v>606</v>
      </c>
      <c r="W467" s="98" t="s">
        <v>770</v>
      </c>
      <c r="X467" s="98" t="s">
        <v>1236</v>
      </c>
      <c r="Y467" s="98" t="s">
        <v>778</v>
      </c>
      <c r="Z467" s="98" t="s">
        <v>780</v>
      </c>
      <c r="AA467" s="98" t="s">
        <v>2435</v>
      </c>
      <c r="AB467" s="98"/>
      <c r="AC467" s="98"/>
      <c r="AD467" s="98"/>
      <c r="AE467" s="98" t="s">
        <v>2436</v>
      </c>
    </row>
    <row r="468" spans="1:32" ht="12.75" customHeight="1">
      <c r="A468" s="102" t="s">
        <v>602</v>
      </c>
      <c r="B468" s="102"/>
      <c r="C468" s="102"/>
      <c r="D468" s="102"/>
      <c r="E468" s="102"/>
      <c r="F468" s="102"/>
      <c r="G468" s="160"/>
      <c r="H468" s="160"/>
      <c r="I468" s="160"/>
      <c r="J468" s="160"/>
      <c r="K468" s="267">
        <v>-2043369.82</v>
      </c>
      <c r="L468" s="102"/>
      <c r="M468" s="102"/>
      <c r="N468" s="102"/>
      <c r="O468" s="102"/>
      <c r="P468" s="102"/>
      <c r="Q468" s="102"/>
      <c r="R468" s="102"/>
      <c r="S468" s="102"/>
      <c r="T468" s="102"/>
      <c r="U468" s="102"/>
      <c r="V468" s="102"/>
      <c r="W468" s="102"/>
      <c r="X468" s="102"/>
      <c r="Y468" s="102"/>
      <c r="Z468" s="102"/>
      <c r="AA468" s="102"/>
      <c r="AB468" s="102"/>
      <c r="AC468" s="102"/>
      <c r="AD468" s="102"/>
      <c r="AE468" s="102"/>
    </row>
    <row r="470" spans="1:32" ht="31.5">
      <c r="A470" s="91" t="s">
        <v>746</v>
      </c>
      <c r="B470" s="91" t="s">
        <v>604</v>
      </c>
      <c r="C470" s="91" t="s">
        <v>747</v>
      </c>
      <c r="D470" s="91" t="s">
        <v>608</v>
      </c>
      <c r="E470" s="91" t="s">
        <v>749</v>
      </c>
      <c r="F470" s="91" t="s">
        <v>921</v>
      </c>
      <c r="G470" s="159" t="s">
        <v>748</v>
      </c>
      <c r="H470" s="159" t="s">
        <v>750</v>
      </c>
      <c r="I470" s="159" t="s">
        <v>751</v>
      </c>
      <c r="J470" s="159" t="s">
        <v>752</v>
      </c>
      <c r="K470" s="159" t="s">
        <v>753</v>
      </c>
      <c r="L470" s="91" t="s">
        <v>754</v>
      </c>
      <c r="M470" s="91" t="s">
        <v>918</v>
      </c>
      <c r="N470" s="91" t="s">
        <v>2</v>
      </c>
      <c r="O470" s="91" t="s">
        <v>755</v>
      </c>
      <c r="P470" s="91" t="s">
        <v>605</v>
      </c>
      <c r="Q470" s="91" t="s">
        <v>756</v>
      </c>
      <c r="R470" s="91" t="s">
        <v>946</v>
      </c>
      <c r="S470" s="91" t="s">
        <v>761</v>
      </c>
      <c r="T470" s="91" t="s">
        <v>760</v>
      </c>
      <c r="U470" s="91" t="s">
        <v>1361</v>
      </c>
      <c r="V470" s="91" t="s">
        <v>757</v>
      </c>
      <c r="W470" s="91" t="s">
        <v>758</v>
      </c>
      <c r="X470" s="91" t="s">
        <v>759</v>
      </c>
      <c r="Y470" s="91" t="s">
        <v>762</v>
      </c>
      <c r="Z470" s="91" t="s">
        <v>763</v>
      </c>
      <c r="AA470" s="91" t="s">
        <v>764</v>
      </c>
      <c r="AB470" s="91" t="s">
        <v>765</v>
      </c>
      <c r="AC470" s="91" t="s">
        <v>766</v>
      </c>
      <c r="AD470" s="91" t="s">
        <v>767</v>
      </c>
      <c r="AE470" s="91" t="s">
        <v>919</v>
      </c>
      <c r="AF470" s="91" t="s">
        <v>920</v>
      </c>
    </row>
    <row r="471" spans="1:32" ht="12.75" customHeight="1">
      <c r="A471" s="92" t="s">
        <v>703</v>
      </c>
      <c r="B471" s="92" t="s">
        <v>53</v>
      </c>
      <c r="C471" s="92" t="s">
        <v>922</v>
      </c>
      <c r="D471" s="92"/>
      <c r="E471" s="92" t="s">
        <v>768</v>
      </c>
      <c r="F471" s="92"/>
      <c r="G471" s="263">
        <v>9960408</v>
      </c>
      <c r="H471" s="263">
        <v>1414492</v>
      </c>
      <c r="I471" s="156" t="s">
        <v>769</v>
      </c>
      <c r="J471" s="263">
        <v>11</v>
      </c>
      <c r="K471" s="263">
        <v>21</v>
      </c>
      <c r="L471" s="96">
        <v>20462.5</v>
      </c>
      <c r="M471" s="100">
        <v>44502</v>
      </c>
      <c r="N471" s="100">
        <v>44508</v>
      </c>
      <c r="O471" s="100">
        <v>44508</v>
      </c>
      <c r="P471" s="92" t="s">
        <v>2206</v>
      </c>
      <c r="Q471" s="92" t="s">
        <v>2207</v>
      </c>
      <c r="R471" s="92" t="s">
        <v>2537</v>
      </c>
      <c r="S471" s="92" t="s">
        <v>2538</v>
      </c>
      <c r="T471" s="92" t="s">
        <v>2539</v>
      </c>
      <c r="U471" s="92"/>
      <c r="V471" s="92"/>
      <c r="W471" s="92"/>
      <c r="X471" s="92"/>
      <c r="Y471" s="92" t="s">
        <v>606</v>
      </c>
      <c r="Z471" s="92" t="s">
        <v>770</v>
      </c>
      <c r="AA471" s="92" t="s">
        <v>1236</v>
      </c>
      <c r="AB471" s="92" t="s">
        <v>778</v>
      </c>
      <c r="AC471" s="92" t="s">
        <v>912</v>
      </c>
      <c r="AD471" s="92" t="s">
        <v>2209</v>
      </c>
      <c r="AE471" s="92"/>
      <c r="AF471" s="92"/>
    </row>
    <row r="472" spans="1:32" ht="12.75" customHeight="1">
      <c r="A472" s="92" t="s">
        <v>703</v>
      </c>
      <c r="B472" s="92" t="s">
        <v>61</v>
      </c>
      <c r="C472" s="92" t="s">
        <v>922</v>
      </c>
      <c r="D472" s="92"/>
      <c r="E472" s="92" t="s">
        <v>768</v>
      </c>
      <c r="F472" s="92"/>
      <c r="G472" s="263">
        <v>9956515</v>
      </c>
      <c r="H472" s="263">
        <v>1412593</v>
      </c>
      <c r="I472" s="156" t="s">
        <v>769</v>
      </c>
      <c r="J472" s="263">
        <v>11</v>
      </c>
      <c r="K472" s="263">
        <v>21</v>
      </c>
      <c r="L472" s="96">
        <v>137730</v>
      </c>
      <c r="M472" s="100">
        <v>44314</v>
      </c>
      <c r="N472" s="100">
        <v>44501</v>
      </c>
      <c r="O472" s="100">
        <v>44501</v>
      </c>
      <c r="P472" s="92" t="s">
        <v>2540</v>
      </c>
      <c r="Q472" s="92" t="s">
        <v>607</v>
      </c>
      <c r="R472" s="92" t="s">
        <v>2541</v>
      </c>
      <c r="S472" s="92" t="s">
        <v>791</v>
      </c>
      <c r="T472" s="92" t="s">
        <v>2542</v>
      </c>
      <c r="U472" s="92"/>
      <c r="V472" s="92"/>
      <c r="W472" s="92"/>
      <c r="X472" s="92"/>
      <c r="Y472" s="92" t="s">
        <v>606</v>
      </c>
      <c r="Z472" s="92" t="s">
        <v>770</v>
      </c>
      <c r="AA472" s="92" t="s">
        <v>1236</v>
      </c>
      <c r="AB472" s="92" t="s">
        <v>778</v>
      </c>
      <c r="AC472" s="92" t="s">
        <v>933</v>
      </c>
      <c r="AD472" s="92" t="s">
        <v>2543</v>
      </c>
      <c r="AE472" s="92"/>
      <c r="AF472" s="92"/>
    </row>
    <row r="473" spans="1:32" ht="12.75" customHeight="1">
      <c r="A473" s="92" t="s">
        <v>703</v>
      </c>
      <c r="B473" s="92" t="s">
        <v>61</v>
      </c>
      <c r="C473" s="92" t="s">
        <v>922</v>
      </c>
      <c r="D473" s="92"/>
      <c r="E473" s="92" t="s">
        <v>768</v>
      </c>
      <c r="F473" s="92"/>
      <c r="G473" s="263">
        <v>9962126</v>
      </c>
      <c r="H473" s="263">
        <v>1415210</v>
      </c>
      <c r="I473" s="156" t="s">
        <v>769</v>
      </c>
      <c r="J473" s="263">
        <v>11</v>
      </c>
      <c r="K473" s="263">
        <v>21</v>
      </c>
      <c r="L473" s="96">
        <v>-57999.99</v>
      </c>
      <c r="M473" s="100">
        <v>44495</v>
      </c>
      <c r="N473" s="100">
        <v>44511</v>
      </c>
      <c r="O473" s="100">
        <v>44511</v>
      </c>
      <c r="P473" s="92" t="s">
        <v>2544</v>
      </c>
      <c r="Q473" s="92" t="s">
        <v>2319</v>
      </c>
      <c r="R473" s="92" t="s">
        <v>2545</v>
      </c>
      <c r="S473" s="92" t="s">
        <v>2546</v>
      </c>
      <c r="T473" s="92" t="s">
        <v>2547</v>
      </c>
      <c r="U473" s="92"/>
      <c r="V473" s="92"/>
      <c r="W473" s="92"/>
      <c r="X473" s="92"/>
      <c r="Y473" s="92" t="s">
        <v>606</v>
      </c>
      <c r="Z473" s="92" t="s">
        <v>770</v>
      </c>
      <c r="AA473" s="92" t="s">
        <v>1236</v>
      </c>
      <c r="AB473" s="92" t="s">
        <v>778</v>
      </c>
      <c r="AC473" s="92" t="s">
        <v>933</v>
      </c>
      <c r="AD473" s="92" t="s">
        <v>2237</v>
      </c>
      <c r="AE473" s="92"/>
      <c r="AF473" s="92"/>
    </row>
    <row r="474" spans="1:32" ht="12.75" customHeight="1">
      <c r="A474" s="92" t="s">
        <v>703</v>
      </c>
      <c r="B474" s="92" t="s">
        <v>61</v>
      </c>
      <c r="C474" s="92" t="s">
        <v>922</v>
      </c>
      <c r="D474" s="92"/>
      <c r="E474" s="92" t="s">
        <v>768</v>
      </c>
      <c r="F474" s="92"/>
      <c r="G474" s="263">
        <v>9962126</v>
      </c>
      <c r="H474" s="263">
        <v>1415210</v>
      </c>
      <c r="I474" s="156" t="s">
        <v>769</v>
      </c>
      <c r="J474" s="263">
        <v>11</v>
      </c>
      <c r="K474" s="263">
        <v>21</v>
      </c>
      <c r="L474" s="96">
        <v>58000</v>
      </c>
      <c r="M474" s="100">
        <v>44495</v>
      </c>
      <c r="N474" s="100">
        <v>44511</v>
      </c>
      <c r="O474" s="100">
        <v>44511</v>
      </c>
      <c r="P474" s="92" t="s">
        <v>2548</v>
      </c>
      <c r="Q474" s="92" t="s">
        <v>2319</v>
      </c>
      <c r="R474" s="92" t="s">
        <v>2545</v>
      </c>
      <c r="S474" s="92" t="s">
        <v>2546</v>
      </c>
      <c r="T474" s="92" t="s">
        <v>2547</v>
      </c>
      <c r="U474" s="92"/>
      <c r="V474" s="92"/>
      <c r="W474" s="92"/>
      <c r="X474" s="92"/>
      <c r="Y474" s="92" t="s">
        <v>606</v>
      </c>
      <c r="Z474" s="92" t="s">
        <v>770</v>
      </c>
      <c r="AA474" s="92" t="s">
        <v>1236</v>
      </c>
      <c r="AB474" s="92" t="s">
        <v>778</v>
      </c>
      <c r="AC474" s="92" t="s">
        <v>933</v>
      </c>
      <c r="AD474" s="92" t="s">
        <v>2237</v>
      </c>
      <c r="AE474" s="92"/>
      <c r="AF474" s="92"/>
    </row>
    <row r="475" spans="1:32" ht="12.75" customHeight="1">
      <c r="A475" s="92" t="s">
        <v>846</v>
      </c>
      <c r="B475" s="92" t="s">
        <v>1003</v>
      </c>
      <c r="C475" s="92" t="s">
        <v>922</v>
      </c>
      <c r="D475" s="92"/>
      <c r="E475" s="92" t="s">
        <v>49</v>
      </c>
      <c r="F475" s="92"/>
      <c r="G475" s="263">
        <v>9956528</v>
      </c>
      <c r="H475" s="263">
        <v>18764169</v>
      </c>
      <c r="I475" s="156" t="s">
        <v>772</v>
      </c>
      <c r="J475" s="263">
        <v>11</v>
      </c>
      <c r="K475" s="263">
        <v>21</v>
      </c>
      <c r="L475" s="96">
        <v>-439509.95</v>
      </c>
      <c r="M475" s="100">
        <v>44501</v>
      </c>
      <c r="N475" s="100">
        <v>44501</v>
      </c>
      <c r="O475" s="100">
        <v>44501</v>
      </c>
      <c r="P475" s="92" t="s">
        <v>2549</v>
      </c>
      <c r="Q475" s="92" t="s">
        <v>2549</v>
      </c>
      <c r="R475" s="92"/>
      <c r="S475" s="92">
        <v>0</v>
      </c>
      <c r="T475" s="92" t="s">
        <v>2550</v>
      </c>
      <c r="U475" s="92"/>
      <c r="V475" s="92"/>
      <c r="W475" s="92" t="s">
        <v>773</v>
      </c>
      <c r="X475" s="92"/>
      <c r="Y475" s="92" t="s">
        <v>606</v>
      </c>
      <c r="Z475" s="92" t="s">
        <v>770</v>
      </c>
      <c r="AA475" s="92" t="s">
        <v>1252</v>
      </c>
      <c r="AB475" s="92" t="s">
        <v>1281</v>
      </c>
      <c r="AC475" s="92" t="s">
        <v>1004</v>
      </c>
      <c r="AD475" s="92" t="s">
        <v>2503</v>
      </c>
      <c r="AE475" s="92"/>
      <c r="AF475" s="92"/>
    </row>
    <row r="476" spans="1:32" ht="12.75" customHeight="1">
      <c r="A476" s="92" t="s">
        <v>846</v>
      </c>
      <c r="B476" s="92" t="s">
        <v>609</v>
      </c>
      <c r="C476" s="92" t="s">
        <v>922</v>
      </c>
      <c r="D476" s="92"/>
      <c r="E476" s="92" t="s">
        <v>49</v>
      </c>
      <c r="F476" s="92"/>
      <c r="G476" s="263">
        <v>9963520</v>
      </c>
      <c r="H476" s="263">
        <v>18804619</v>
      </c>
      <c r="I476" s="156" t="s">
        <v>772</v>
      </c>
      <c r="J476" s="263">
        <v>11</v>
      </c>
      <c r="K476" s="263">
        <v>21</v>
      </c>
      <c r="L476" s="96">
        <v>-30000</v>
      </c>
      <c r="M476" s="100">
        <v>44530</v>
      </c>
      <c r="N476" s="100">
        <v>44530</v>
      </c>
      <c r="O476" s="100">
        <v>44515</v>
      </c>
      <c r="P476" s="92" t="s">
        <v>2551</v>
      </c>
      <c r="Q476" s="92" t="s">
        <v>2552</v>
      </c>
      <c r="R476" s="92"/>
      <c r="S476" s="92">
        <v>0</v>
      </c>
      <c r="T476" s="92" t="s">
        <v>2553</v>
      </c>
      <c r="U476" s="92"/>
      <c r="V476" s="92"/>
      <c r="W476" s="92" t="s">
        <v>773</v>
      </c>
      <c r="X476" s="92"/>
      <c r="Y476" s="92" t="s">
        <v>606</v>
      </c>
      <c r="Z476" s="92" t="s">
        <v>770</v>
      </c>
      <c r="AA476" s="92" t="s">
        <v>1041</v>
      </c>
      <c r="AB476" s="92" t="s">
        <v>778</v>
      </c>
      <c r="AC476" s="92" t="s">
        <v>788</v>
      </c>
      <c r="AD476" s="92" t="s">
        <v>2513</v>
      </c>
      <c r="AE476" s="92"/>
      <c r="AF476" s="92"/>
    </row>
    <row r="477" spans="1:32" ht="12.75" customHeight="1">
      <c r="A477" s="92" t="s">
        <v>846</v>
      </c>
      <c r="B477" s="92" t="s">
        <v>1011</v>
      </c>
      <c r="C477" s="92" t="s">
        <v>922</v>
      </c>
      <c r="D477" s="92"/>
      <c r="E477" s="92" t="s">
        <v>49</v>
      </c>
      <c r="F477" s="92"/>
      <c r="G477" s="263">
        <v>9963930</v>
      </c>
      <c r="H477" s="263">
        <v>18804787</v>
      </c>
      <c r="I477" s="156" t="s">
        <v>772</v>
      </c>
      <c r="J477" s="263">
        <v>11</v>
      </c>
      <c r="K477" s="263">
        <v>21</v>
      </c>
      <c r="L477" s="96">
        <v>-48017.95</v>
      </c>
      <c r="M477" s="100">
        <v>44530</v>
      </c>
      <c r="N477" s="100">
        <v>44530</v>
      </c>
      <c r="O477" s="100">
        <v>44516</v>
      </c>
      <c r="P477" s="92" t="s">
        <v>2554</v>
      </c>
      <c r="Q477" s="92" t="s">
        <v>2554</v>
      </c>
      <c r="R477" s="92"/>
      <c r="S477" s="92">
        <v>0</v>
      </c>
      <c r="T477" s="92" t="s">
        <v>1650</v>
      </c>
      <c r="U477" s="92"/>
      <c r="V477" s="92"/>
      <c r="W477" s="92" t="s">
        <v>773</v>
      </c>
      <c r="X477" s="92"/>
      <c r="Y477" s="92" t="s">
        <v>606</v>
      </c>
      <c r="Z477" s="92" t="s">
        <v>770</v>
      </c>
      <c r="AA477" s="92" t="s">
        <v>1041</v>
      </c>
      <c r="AB477" s="92" t="s">
        <v>778</v>
      </c>
      <c r="AC477" s="92" t="s">
        <v>1012</v>
      </c>
      <c r="AD477" s="92" t="s">
        <v>2113</v>
      </c>
      <c r="AE477" s="92"/>
      <c r="AF477" s="92"/>
    </row>
    <row r="478" spans="1:32" ht="12.75" customHeight="1">
      <c r="A478" s="92" t="s">
        <v>846</v>
      </c>
      <c r="B478" s="92" t="s">
        <v>67</v>
      </c>
      <c r="C478" s="92" t="s">
        <v>922</v>
      </c>
      <c r="D478" s="92"/>
      <c r="E478" s="92" t="s">
        <v>49</v>
      </c>
      <c r="F478" s="92"/>
      <c r="G478" s="263">
        <v>9963503</v>
      </c>
      <c r="H478" s="263">
        <v>18804620</v>
      </c>
      <c r="I478" s="156" t="s">
        <v>772</v>
      </c>
      <c r="J478" s="263">
        <v>11</v>
      </c>
      <c r="K478" s="263">
        <v>21</v>
      </c>
      <c r="L478" s="96">
        <v>-42500</v>
      </c>
      <c r="M478" s="100">
        <v>44511</v>
      </c>
      <c r="N478" s="100">
        <v>44511</v>
      </c>
      <c r="O478" s="100">
        <v>44515</v>
      </c>
      <c r="P478" s="92"/>
      <c r="Q478" s="92" t="s">
        <v>2555</v>
      </c>
      <c r="R478" s="92"/>
      <c r="S478" s="92">
        <v>0</v>
      </c>
      <c r="T478" s="92" t="s">
        <v>2556</v>
      </c>
      <c r="U478" s="92"/>
      <c r="V478" s="92"/>
      <c r="W478" s="92"/>
      <c r="X478" s="92"/>
      <c r="Y478" s="92" t="s">
        <v>606</v>
      </c>
      <c r="Z478" s="92" t="s">
        <v>770</v>
      </c>
      <c r="AA478" s="92" t="s">
        <v>2557</v>
      </c>
      <c r="AB478" s="92" t="s">
        <v>2558</v>
      </c>
      <c r="AC478" s="92" t="s">
        <v>790</v>
      </c>
      <c r="AD478" s="92"/>
      <c r="AE478" s="92"/>
      <c r="AF478" s="92"/>
    </row>
    <row r="479" spans="1:32" ht="12.75" customHeight="1">
      <c r="A479" s="92" t="s">
        <v>846</v>
      </c>
      <c r="B479" s="92" t="s">
        <v>67</v>
      </c>
      <c r="C479" s="92" t="s">
        <v>922</v>
      </c>
      <c r="D479" s="92"/>
      <c r="E479" s="92" t="s">
        <v>49</v>
      </c>
      <c r="F479" s="92"/>
      <c r="G479" s="263">
        <v>9963503</v>
      </c>
      <c r="H479" s="263">
        <v>18804620</v>
      </c>
      <c r="I479" s="156" t="s">
        <v>772</v>
      </c>
      <c r="J479" s="263">
        <v>11</v>
      </c>
      <c r="K479" s="263">
        <v>21</v>
      </c>
      <c r="L479" s="96">
        <v>570.42999999999995</v>
      </c>
      <c r="M479" s="100">
        <v>44511</v>
      </c>
      <c r="N479" s="100">
        <v>44511</v>
      </c>
      <c r="O479" s="100">
        <v>44515</v>
      </c>
      <c r="P479" s="92"/>
      <c r="Q479" s="92" t="s">
        <v>2555</v>
      </c>
      <c r="R479" s="92"/>
      <c r="S479" s="92">
        <v>0</v>
      </c>
      <c r="T479" s="92" t="s">
        <v>2559</v>
      </c>
      <c r="U479" s="92"/>
      <c r="V479" s="92"/>
      <c r="W479" s="92"/>
      <c r="X479" s="92"/>
      <c r="Y479" s="92" t="s">
        <v>606</v>
      </c>
      <c r="Z479" s="92" t="s">
        <v>770</v>
      </c>
      <c r="AA479" s="92" t="s">
        <v>2557</v>
      </c>
      <c r="AB479" s="92" t="s">
        <v>2558</v>
      </c>
      <c r="AC479" s="92" t="s">
        <v>790</v>
      </c>
      <c r="AD479" s="92"/>
      <c r="AE479" s="92"/>
      <c r="AF479" s="92"/>
    </row>
    <row r="480" spans="1:32" ht="12.75" customHeight="1">
      <c r="A480" s="92" t="s">
        <v>846</v>
      </c>
      <c r="B480" s="92" t="s">
        <v>67</v>
      </c>
      <c r="C480" s="92" t="s">
        <v>922</v>
      </c>
      <c r="D480" s="92"/>
      <c r="E480" s="92" t="s">
        <v>49</v>
      </c>
      <c r="F480" s="92"/>
      <c r="G480" s="263">
        <v>9963503</v>
      </c>
      <c r="H480" s="263">
        <v>18804620</v>
      </c>
      <c r="I480" s="156" t="s">
        <v>772</v>
      </c>
      <c r="J480" s="263">
        <v>11</v>
      </c>
      <c r="K480" s="263">
        <v>21</v>
      </c>
      <c r="L480" s="96">
        <v>12500</v>
      </c>
      <c r="M480" s="100">
        <v>44511</v>
      </c>
      <c r="N480" s="100">
        <v>44511</v>
      </c>
      <c r="O480" s="100">
        <v>44515</v>
      </c>
      <c r="P480" s="92"/>
      <c r="Q480" s="92" t="s">
        <v>2555</v>
      </c>
      <c r="R480" s="92"/>
      <c r="S480" s="92">
        <v>0</v>
      </c>
      <c r="T480" s="92" t="s">
        <v>2560</v>
      </c>
      <c r="U480" s="92"/>
      <c r="V480" s="92"/>
      <c r="W480" s="92"/>
      <c r="X480" s="92"/>
      <c r="Y480" s="92" t="s">
        <v>606</v>
      </c>
      <c r="Z480" s="92" t="s">
        <v>770</v>
      </c>
      <c r="AA480" s="92" t="s">
        <v>2557</v>
      </c>
      <c r="AB480" s="92" t="s">
        <v>2558</v>
      </c>
      <c r="AC480" s="92" t="s">
        <v>790</v>
      </c>
      <c r="AD480" s="92"/>
      <c r="AE480" s="92"/>
      <c r="AF480" s="92"/>
    </row>
    <row r="481" spans="1:32" ht="12.75" customHeight="1">
      <c r="A481" s="92" t="s">
        <v>846</v>
      </c>
      <c r="B481" s="92" t="s">
        <v>67</v>
      </c>
      <c r="C481" s="92" t="s">
        <v>922</v>
      </c>
      <c r="D481" s="92"/>
      <c r="E481" s="92" t="s">
        <v>49</v>
      </c>
      <c r="F481" s="92"/>
      <c r="G481" s="263">
        <v>9963503</v>
      </c>
      <c r="H481" s="263">
        <v>18804620</v>
      </c>
      <c r="I481" s="156" t="s">
        <v>772</v>
      </c>
      <c r="J481" s="263">
        <v>11</v>
      </c>
      <c r="K481" s="263">
        <v>21</v>
      </c>
      <c r="L481" s="96">
        <v>25000</v>
      </c>
      <c r="M481" s="100">
        <v>44511</v>
      </c>
      <c r="N481" s="100">
        <v>44511</v>
      </c>
      <c r="O481" s="100">
        <v>44515</v>
      </c>
      <c r="P481" s="92"/>
      <c r="Q481" s="92" t="s">
        <v>2555</v>
      </c>
      <c r="R481" s="92"/>
      <c r="S481" s="92">
        <v>0</v>
      </c>
      <c r="T481" s="92" t="s">
        <v>2561</v>
      </c>
      <c r="U481" s="92"/>
      <c r="V481" s="92"/>
      <c r="W481" s="92"/>
      <c r="X481" s="92"/>
      <c r="Y481" s="92" t="s">
        <v>606</v>
      </c>
      <c r="Z481" s="92" t="s">
        <v>770</v>
      </c>
      <c r="AA481" s="92" t="s">
        <v>2557</v>
      </c>
      <c r="AB481" s="92" t="s">
        <v>2558</v>
      </c>
      <c r="AC481" s="92" t="s">
        <v>790</v>
      </c>
      <c r="AD481" s="92"/>
      <c r="AE481" s="92"/>
      <c r="AF481" s="92"/>
    </row>
    <row r="482" spans="1:32" ht="12.75" customHeight="1">
      <c r="A482" s="92" t="s">
        <v>846</v>
      </c>
      <c r="B482" s="92" t="s">
        <v>67</v>
      </c>
      <c r="C482" s="92" t="s">
        <v>922</v>
      </c>
      <c r="D482" s="92"/>
      <c r="E482" s="92" t="s">
        <v>49</v>
      </c>
      <c r="F482" s="92"/>
      <c r="G482" s="263">
        <v>9963503</v>
      </c>
      <c r="H482" s="263">
        <v>18804620</v>
      </c>
      <c r="I482" s="156" t="s">
        <v>772</v>
      </c>
      <c r="J482" s="263">
        <v>11</v>
      </c>
      <c r="K482" s="263">
        <v>21</v>
      </c>
      <c r="L482" s="96">
        <v>-12500</v>
      </c>
      <c r="M482" s="100">
        <v>44511</v>
      </c>
      <c r="N482" s="100">
        <v>44511</v>
      </c>
      <c r="O482" s="100">
        <v>44515</v>
      </c>
      <c r="P482" s="92"/>
      <c r="Q482" s="92" t="s">
        <v>2555</v>
      </c>
      <c r="R482" s="92"/>
      <c r="S482" s="92">
        <v>0</v>
      </c>
      <c r="T482" s="92" t="s">
        <v>2562</v>
      </c>
      <c r="U482" s="92"/>
      <c r="V482" s="92"/>
      <c r="W482" s="92"/>
      <c r="X482" s="92"/>
      <c r="Y482" s="92" t="s">
        <v>606</v>
      </c>
      <c r="Z482" s="92" t="s">
        <v>770</v>
      </c>
      <c r="AA482" s="92" t="s">
        <v>2557</v>
      </c>
      <c r="AB482" s="92" t="s">
        <v>2558</v>
      </c>
      <c r="AC482" s="92" t="s">
        <v>790</v>
      </c>
      <c r="AD482" s="92"/>
      <c r="AE482" s="92"/>
      <c r="AF482" s="92"/>
    </row>
    <row r="483" spans="1:32" ht="12.75" customHeight="1">
      <c r="A483" s="92" t="s">
        <v>846</v>
      </c>
      <c r="B483" s="92" t="s">
        <v>67</v>
      </c>
      <c r="C483" s="92" t="s">
        <v>922</v>
      </c>
      <c r="D483" s="92"/>
      <c r="E483" s="92" t="s">
        <v>49</v>
      </c>
      <c r="F483" s="92"/>
      <c r="G483" s="263">
        <v>9963503</v>
      </c>
      <c r="H483" s="263">
        <v>18804620</v>
      </c>
      <c r="I483" s="156" t="s">
        <v>772</v>
      </c>
      <c r="J483" s="263">
        <v>11</v>
      </c>
      <c r="K483" s="263">
        <v>21</v>
      </c>
      <c r="L483" s="96">
        <v>7331.49</v>
      </c>
      <c r="M483" s="100">
        <v>44511</v>
      </c>
      <c r="N483" s="100">
        <v>44511</v>
      </c>
      <c r="O483" s="100">
        <v>44515</v>
      </c>
      <c r="P483" s="92"/>
      <c r="Q483" s="92" t="s">
        <v>2555</v>
      </c>
      <c r="R483" s="92"/>
      <c r="S483" s="92">
        <v>0</v>
      </c>
      <c r="T483" s="92" t="s">
        <v>2563</v>
      </c>
      <c r="U483" s="92"/>
      <c r="V483" s="92"/>
      <c r="W483" s="92"/>
      <c r="X483" s="92"/>
      <c r="Y483" s="92" t="s">
        <v>606</v>
      </c>
      <c r="Z483" s="92" t="s">
        <v>770</v>
      </c>
      <c r="AA483" s="92" t="s">
        <v>2557</v>
      </c>
      <c r="AB483" s="92" t="s">
        <v>2558</v>
      </c>
      <c r="AC483" s="92" t="s">
        <v>790</v>
      </c>
      <c r="AD483" s="92"/>
      <c r="AE483" s="92"/>
      <c r="AF483" s="92"/>
    </row>
    <row r="484" spans="1:32" ht="12.75" customHeight="1">
      <c r="A484" s="92" t="s">
        <v>846</v>
      </c>
      <c r="B484" s="92" t="s">
        <v>67</v>
      </c>
      <c r="C484" s="92" t="s">
        <v>922</v>
      </c>
      <c r="D484" s="92"/>
      <c r="E484" s="92" t="s">
        <v>49</v>
      </c>
      <c r="F484" s="92"/>
      <c r="G484" s="263">
        <v>9963503</v>
      </c>
      <c r="H484" s="263">
        <v>18804620</v>
      </c>
      <c r="I484" s="156" t="s">
        <v>772</v>
      </c>
      <c r="J484" s="263">
        <v>11</v>
      </c>
      <c r="K484" s="263">
        <v>21</v>
      </c>
      <c r="L484" s="96">
        <v>24608.94</v>
      </c>
      <c r="M484" s="100">
        <v>44511</v>
      </c>
      <c r="N484" s="100">
        <v>44511</v>
      </c>
      <c r="O484" s="100">
        <v>44515</v>
      </c>
      <c r="P484" s="92"/>
      <c r="Q484" s="92" t="s">
        <v>2555</v>
      </c>
      <c r="R484" s="92"/>
      <c r="S484" s="92">
        <v>0</v>
      </c>
      <c r="T484" s="92" t="s">
        <v>2564</v>
      </c>
      <c r="U484" s="92"/>
      <c r="V484" s="92"/>
      <c r="W484" s="92"/>
      <c r="X484" s="92"/>
      <c r="Y484" s="92" t="s">
        <v>606</v>
      </c>
      <c r="Z484" s="92" t="s">
        <v>770</v>
      </c>
      <c r="AA484" s="92" t="s">
        <v>2557</v>
      </c>
      <c r="AB484" s="92" t="s">
        <v>2558</v>
      </c>
      <c r="AC484" s="92" t="s">
        <v>790</v>
      </c>
      <c r="AD484" s="92"/>
      <c r="AE484" s="92"/>
      <c r="AF484" s="92"/>
    </row>
    <row r="485" spans="1:32" ht="12.75" customHeight="1">
      <c r="A485" s="92" t="s">
        <v>846</v>
      </c>
      <c r="B485" s="92" t="s">
        <v>67</v>
      </c>
      <c r="C485" s="92" t="s">
        <v>922</v>
      </c>
      <c r="D485" s="92"/>
      <c r="E485" s="92" t="s">
        <v>49</v>
      </c>
      <c r="F485" s="92"/>
      <c r="G485" s="263">
        <v>9963503</v>
      </c>
      <c r="H485" s="263">
        <v>18804620</v>
      </c>
      <c r="I485" s="156" t="s">
        <v>772</v>
      </c>
      <c r="J485" s="263">
        <v>11</v>
      </c>
      <c r="K485" s="263">
        <v>21</v>
      </c>
      <c r="L485" s="96">
        <v>8229.56</v>
      </c>
      <c r="M485" s="100">
        <v>44511</v>
      </c>
      <c r="N485" s="100">
        <v>44511</v>
      </c>
      <c r="O485" s="100">
        <v>44515</v>
      </c>
      <c r="P485" s="92"/>
      <c r="Q485" s="92" t="s">
        <v>2555</v>
      </c>
      <c r="R485" s="92"/>
      <c r="S485" s="92">
        <v>0</v>
      </c>
      <c r="T485" s="92" t="s">
        <v>2565</v>
      </c>
      <c r="U485" s="92"/>
      <c r="V485" s="92"/>
      <c r="W485" s="92"/>
      <c r="X485" s="92"/>
      <c r="Y485" s="92" t="s">
        <v>606</v>
      </c>
      <c r="Z485" s="92" t="s">
        <v>770</v>
      </c>
      <c r="AA485" s="92" t="s">
        <v>2557</v>
      </c>
      <c r="AB485" s="92" t="s">
        <v>2558</v>
      </c>
      <c r="AC485" s="92" t="s">
        <v>790</v>
      </c>
      <c r="AD485" s="92"/>
      <c r="AE485" s="92"/>
      <c r="AF485" s="92"/>
    </row>
    <row r="486" spans="1:32" ht="12.75" customHeight="1">
      <c r="A486" s="92" t="s">
        <v>846</v>
      </c>
      <c r="B486" s="92" t="s">
        <v>67</v>
      </c>
      <c r="C486" s="92" t="s">
        <v>922</v>
      </c>
      <c r="D486" s="92"/>
      <c r="E486" s="92" t="s">
        <v>49</v>
      </c>
      <c r="F486" s="92"/>
      <c r="G486" s="263">
        <v>9963503</v>
      </c>
      <c r="H486" s="263">
        <v>18804620</v>
      </c>
      <c r="I486" s="156" t="s">
        <v>772</v>
      </c>
      <c r="J486" s="263">
        <v>11</v>
      </c>
      <c r="K486" s="263">
        <v>21</v>
      </c>
      <c r="L486" s="96">
        <v>1426.3</v>
      </c>
      <c r="M486" s="100">
        <v>44511</v>
      </c>
      <c r="N486" s="100">
        <v>44511</v>
      </c>
      <c r="O486" s="100">
        <v>44515</v>
      </c>
      <c r="P486" s="92"/>
      <c r="Q486" s="92" t="s">
        <v>2555</v>
      </c>
      <c r="R486" s="92"/>
      <c r="S486" s="92">
        <v>0</v>
      </c>
      <c r="T486" s="92" t="s">
        <v>2566</v>
      </c>
      <c r="U486" s="92"/>
      <c r="V486" s="92"/>
      <c r="W486" s="92"/>
      <c r="X486" s="92"/>
      <c r="Y486" s="92" t="s">
        <v>606</v>
      </c>
      <c r="Z486" s="92" t="s">
        <v>770</v>
      </c>
      <c r="AA486" s="92" t="s">
        <v>2557</v>
      </c>
      <c r="AB486" s="92" t="s">
        <v>2558</v>
      </c>
      <c r="AC486" s="92" t="s">
        <v>790</v>
      </c>
      <c r="AD486" s="92"/>
      <c r="AE486" s="92"/>
      <c r="AF486" s="92"/>
    </row>
    <row r="487" spans="1:32" ht="12.75" customHeight="1">
      <c r="A487" s="92" t="s">
        <v>846</v>
      </c>
      <c r="B487" s="92" t="s">
        <v>67</v>
      </c>
      <c r="C487" s="92" t="s">
        <v>922</v>
      </c>
      <c r="D487" s="92"/>
      <c r="E487" s="92" t="s">
        <v>49</v>
      </c>
      <c r="F487" s="92"/>
      <c r="G487" s="263">
        <v>9963503</v>
      </c>
      <c r="H487" s="263">
        <v>18804620</v>
      </c>
      <c r="I487" s="156" t="s">
        <v>772</v>
      </c>
      <c r="J487" s="263">
        <v>11</v>
      </c>
      <c r="K487" s="263">
        <v>21</v>
      </c>
      <c r="L487" s="96">
        <v>-35000</v>
      </c>
      <c r="M487" s="100">
        <v>44511</v>
      </c>
      <c r="N487" s="100">
        <v>44511</v>
      </c>
      <c r="O487" s="100">
        <v>44515</v>
      </c>
      <c r="P487" s="92"/>
      <c r="Q487" s="92" t="s">
        <v>2555</v>
      </c>
      <c r="R487" s="92"/>
      <c r="S487" s="92">
        <v>0</v>
      </c>
      <c r="T487" s="92" t="s">
        <v>2567</v>
      </c>
      <c r="U487" s="92"/>
      <c r="V487" s="92"/>
      <c r="W487" s="92"/>
      <c r="X487" s="92"/>
      <c r="Y487" s="92" t="s">
        <v>606</v>
      </c>
      <c r="Z487" s="92" t="s">
        <v>770</v>
      </c>
      <c r="AA487" s="92" t="s">
        <v>2557</v>
      </c>
      <c r="AB487" s="92" t="s">
        <v>2558</v>
      </c>
      <c r="AC487" s="92" t="s">
        <v>790</v>
      </c>
      <c r="AD487" s="92"/>
      <c r="AE487" s="92"/>
      <c r="AF487" s="92"/>
    </row>
    <row r="488" spans="1:32" ht="12.75" customHeight="1">
      <c r="A488" s="92" t="s">
        <v>846</v>
      </c>
      <c r="B488" s="92" t="s">
        <v>67</v>
      </c>
      <c r="C488" s="92" t="s">
        <v>922</v>
      </c>
      <c r="D488" s="92"/>
      <c r="E488" s="92" t="s">
        <v>49</v>
      </c>
      <c r="F488" s="92"/>
      <c r="G488" s="263">
        <v>9963503</v>
      </c>
      <c r="H488" s="263">
        <v>18804620</v>
      </c>
      <c r="I488" s="156" t="s">
        <v>772</v>
      </c>
      <c r="J488" s="263">
        <v>11</v>
      </c>
      <c r="K488" s="263">
        <v>21</v>
      </c>
      <c r="L488" s="96">
        <v>2001.21</v>
      </c>
      <c r="M488" s="100">
        <v>44511</v>
      </c>
      <c r="N488" s="100">
        <v>44511</v>
      </c>
      <c r="O488" s="100">
        <v>44515</v>
      </c>
      <c r="P488" s="92"/>
      <c r="Q488" s="92" t="s">
        <v>2555</v>
      </c>
      <c r="R488" s="92"/>
      <c r="S488" s="92">
        <v>0</v>
      </c>
      <c r="T488" s="92" t="s">
        <v>2568</v>
      </c>
      <c r="U488" s="92"/>
      <c r="V488" s="92"/>
      <c r="W488" s="92"/>
      <c r="X488" s="92"/>
      <c r="Y488" s="92" t="s">
        <v>606</v>
      </c>
      <c r="Z488" s="92" t="s">
        <v>770</v>
      </c>
      <c r="AA488" s="92" t="s">
        <v>2557</v>
      </c>
      <c r="AB488" s="92" t="s">
        <v>2558</v>
      </c>
      <c r="AC488" s="92" t="s">
        <v>790</v>
      </c>
      <c r="AD488" s="92"/>
      <c r="AE488" s="92"/>
      <c r="AF488" s="92"/>
    </row>
    <row r="489" spans="1:32" ht="12.75" customHeight="1">
      <c r="A489" s="92" t="s">
        <v>846</v>
      </c>
      <c r="B489" s="92" t="s">
        <v>67</v>
      </c>
      <c r="C489" s="92" t="s">
        <v>922</v>
      </c>
      <c r="D489" s="92"/>
      <c r="E489" s="92" t="s">
        <v>49</v>
      </c>
      <c r="F489" s="92"/>
      <c r="G489" s="263">
        <v>9963503</v>
      </c>
      <c r="H489" s="263">
        <v>18804620</v>
      </c>
      <c r="I489" s="156" t="s">
        <v>772</v>
      </c>
      <c r="J489" s="263">
        <v>11</v>
      </c>
      <c r="K489" s="263">
        <v>21</v>
      </c>
      <c r="L489" s="96">
        <v>20000</v>
      </c>
      <c r="M489" s="100">
        <v>44511</v>
      </c>
      <c r="N489" s="100">
        <v>44511</v>
      </c>
      <c r="O489" s="100">
        <v>44515</v>
      </c>
      <c r="P489" s="92"/>
      <c r="Q489" s="92" t="s">
        <v>2555</v>
      </c>
      <c r="R489" s="92"/>
      <c r="S489" s="92">
        <v>0</v>
      </c>
      <c r="T489" s="92" t="s">
        <v>2569</v>
      </c>
      <c r="U489" s="92"/>
      <c r="V489" s="92"/>
      <c r="W489" s="92"/>
      <c r="X489" s="92"/>
      <c r="Y489" s="92" t="s">
        <v>606</v>
      </c>
      <c r="Z489" s="92" t="s">
        <v>770</v>
      </c>
      <c r="AA489" s="92" t="s">
        <v>2557</v>
      </c>
      <c r="AB489" s="92" t="s">
        <v>2558</v>
      </c>
      <c r="AC489" s="92" t="s">
        <v>790</v>
      </c>
      <c r="AD489" s="92"/>
      <c r="AE489" s="92"/>
      <c r="AF489" s="92"/>
    </row>
    <row r="490" spans="1:32" ht="12.75" customHeight="1">
      <c r="A490" s="92" t="s">
        <v>846</v>
      </c>
      <c r="B490" s="92" t="s">
        <v>67</v>
      </c>
      <c r="C490" s="92" t="s">
        <v>922</v>
      </c>
      <c r="D490" s="92"/>
      <c r="E490" s="92" t="s">
        <v>49</v>
      </c>
      <c r="F490" s="92"/>
      <c r="G490" s="263">
        <v>9963503</v>
      </c>
      <c r="H490" s="263">
        <v>18804620</v>
      </c>
      <c r="I490" s="156" t="s">
        <v>772</v>
      </c>
      <c r="J490" s="263">
        <v>11</v>
      </c>
      <c r="K490" s="263">
        <v>21</v>
      </c>
      <c r="L490" s="96">
        <v>5000</v>
      </c>
      <c r="M490" s="100">
        <v>44511</v>
      </c>
      <c r="N490" s="100">
        <v>44511</v>
      </c>
      <c r="O490" s="100">
        <v>44515</v>
      </c>
      <c r="P490" s="92"/>
      <c r="Q490" s="92" t="s">
        <v>2555</v>
      </c>
      <c r="R490" s="92"/>
      <c r="S490" s="92">
        <v>0</v>
      </c>
      <c r="T490" s="92" t="s">
        <v>2570</v>
      </c>
      <c r="U490" s="92"/>
      <c r="V490" s="92"/>
      <c r="W490" s="92"/>
      <c r="X490" s="92"/>
      <c r="Y490" s="92" t="s">
        <v>606</v>
      </c>
      <c r="Z490" s="92" t="s">
        <v>770</v>
      </c>
      <c r="AA490" s="92" t="s">
        <v>2557</v>
      </c>
      <c r="AB490" s="92" t="s">
        <v>2558</v>
      </c>
      <c r="AC490" s="92" t="s">
        <v>790</v>
      </c>
      <c r="AD490" s="92"/>
      <c r="AE490" s="92"/>
      <c r="AF490" s="92"/>
    </row>
    <row r="491" spans="1:32" ht="12.75" customHeight="1">
      <c r="A491" s="92" t="s">
        <v>846</v>
      </c>
      <c r="B491" s="92" t="s">
        <v>67</v>
      </c>
      <c r="C491" s="92" t="s">
        <v>922</v>
      </c>
      <c r="D491" s="92"/>
      <c r="E491" s="92" t="s">
        <v>49</v>
      </c>
      <c r="F491" s="92"/>
      <c r="G491" s="263">
        <v>9963503</v>
      </c>
      <c r="H491" s="263">
        <v>18804620</v>
      </c>
      <c r="I491" s="156" t="s">
        <v>772</v>
      </c>
      <c r="J491" s="263">
        <v>11</v>
      </c>
      <c r="K491" s="263">
        <v>21</v>
      </c>
      <c r="L491" s="96">
        <v>8465.6200000000008</v>
      </c>
      <c r="M491" s="100">
        <v>44511</v>
      </c>
      <c r="N491" s="100">
        <v>44511</v>
      </c>
      <c r="O491" s="100">
        <v>44515</v>
      </c>
      <c r="P491" s="92"/>
      <c r="Q491" s="92" t="s">
        <v>2555</v>
      </c>
      <c r="R491" s="92"/>
      <c r="S491" s="92">
        <v>0</v>
      </c>
      <c r="T491" s="92" t="s">
        <v>2571</v>
      </c>
      <c r="U491" s="92"/>
      <c r="V491" s="92"/>
      <c r="W491" s="92"/>
      <c r="X491" s="92"/>
      <c r="Y491" s="92" t="s">
        <v>606</v>
      </c>
      <c r="Z491" s="92" t="s">
        <v>770</v>
      </c>
      <c r="AA491" s="92" t="s">
        <v>2557</v>
      </c>
      <c r="AB491" s="92" t="s">
        <v>2558</v>
      </c>
      <c r="AC491" s="92" t="s">
        <v>790</v>
      </c>
      <c r="AD491" s="92"/>
      <c r="AE491" s="92"/>
      <c r="AF491" s="92"/>
    </row>
    <row r="492" spans="1:32" ht="12.75" customHeight="1">
      <c r="A492" s="92" t="s">
        <v>846</v>
      </c>
      <c r="B492" s="92" t="s">
        <v>67</v>
      </c>
      <c r="C492" s="92" t="s">
        <v>922</v>
      </c>
      <c r="D492" s="92"/>
      <c r="E492" s="92" t="s">
        <v>49</v>
      </c>
      <c r="F492" s="92"/>
      <c r="G492" s="263">
        <v>9963503</v>
      </c>
      <c r="H492" s="263">
        <v>18804620</v>
      </c>
      <c r="I492" s="156" t="s">
        <v>772</v>
      </c>
      <c r="J492" s="263">
        <v>11</v>
      </c>
      <c r="K492" s="263">
        <v>21</v>
      </c>
      <c r="L492" s="96">
        <v>7592.5</v>
      </c>
      <c r="M492" s="100">
        <v>44511</v>
      </c>
      <c r="N492" s="100">
        <v>44511</v>
      </c>
      <c r="O492" s="100">
        <v>44515</v>
      </c>
      <c r="P492" s="92"/>
      <c r="Q492" s="92" t="s">
        <v>2555</v>
      </c>
      <c r="R492" s="92"/>
      <c r="S492" s="92">
        <v>0</v>
      </c>
      <c r="T492" s="92" t="s">
        <v>2572</v>
      </c>
      <c r="U492" s="92"/>
      <c r="V492" s="92"/>
      <c r="W492" s="92"/>
      <c r="X492" s="92"/>
      <c r="Y492" s="92" t="s">
        <v>606</v>
      </c>
      <c r="Z492" s="92" t="s">
        <v>770</v>
      </c>
      <c r="AA492" s="92" t="s">
        <v>2557</v>
      </c>
      <c r="AB492" s="92" t="s">
        <v>2558</v>
      </c>
      <c r="AC492" s="92" t="s">
        <v>790</v>
      </c>
      <c r="AD492" s="92"/>
      <c r="AE492" s="92"/>
      <c r="AF492" s="92"/>
    </row>
    <row r="493" spans="1:32" ht="12.75" customHeight="1">
      <c r="A493" s="92" t="s">
        <v>846</v>
      </c>
      <c r="B493" s="92" t="s">
        <v>67</v>
      </c>
      <c r="C493" s="92" t="s">
        <v>922</v>
      </c>
      <c r="D493" s="92"/>
      <c r="E493" s="92" t="s">
        <v>49</v>
      </c>
      <c r="F493" s="92"/>
      <c r="G493" s="263">
        <v>9963503</v>
      </c>
      <c r="H493" s="263">
        <v>18804620</v>
      </c>
      <c r="I493" s="156" t="s">
        <v>772</v>
      </c>
      <c r="J493" s="263">
        <v>11</v>
      </c>
      <c r="K493" s="263">
        <v>21</v>
      </c>
      <c r="L493" s="96">
        <v>35000</v>
      </c>
      <c r="M493" s="100">
        <v>44511</v>
      </c>
      <c r="N493" s="100">
        <v>44511</v>
      </c>
      <c r="O493" s="100">
        <v>44515</v>
      </c>
      <c r="P493" s="92"/>
      <c r="Q493" s="92" t="s">
        <v>2555</v>
      </c>
      <c r="R493" s="92"/>
      <c r="S493" s="92">
        <v>0</v>
      </c>
      <c r="T493" s="92" t="s">
        <v>2573</v>
      </c>
      <c r="U493" s="92"/>
      <c r="V493" s="92"/>
      <c r="W493" s="92"/>
      <c r="X493" s="92"/>
      <c r="Y493" s="92" t="s">
        <v>606</v>
      </c>
      <c r="Z493" s="92" t="s">
        <v>770</v>
      </c>
      <c r="AA493" s="92" t="s">
        <v>2557</v>
      </c>
      <c r="AB493" s="92" t="s">
        <v>2558</v>
      </c>
      <c r="AC493" s="92" t="s">
        <v>790</v>
      </c>
      <c r="AD493" s="92"/>
      <c r="AE493" s="92"/>
      <c r="AF493" s="92"/>
    </row>
    <row r="494" spans="1:32" ht="12.75" customHeight="1">
      <c r="A494" s="92" t="s">
        <v>846</v>
      </c>
      <c r="B494" s="92" t="s">
        <v>67</v>
      </c>
      <c r="C494" s="92" t="s">
        <v>922</v>
      </c>
      <c r="D494" s="92"/>
      <c r="E494" s="92" t="s">
        <v>49</v>
      </c>
      <c r="F494" s="92"/>
      <c r="G494" s="263">
        <v>9963503</v>
      </c>
      <c r="H494" s="263">
        <v>18804620</v>
      </c>
      <c r="I494" s="156" t="s">
        <v>772</v>
      </c>
      <c r="J494" s="263">
        <v>11</v>
      </c>
      <c r="K494" s="263">
        <v>21</v>
      </c>
      <c r="L494" s="96">
        <v>13280</v>
      </c>
      <c r="M494" s="100">
        <v>44511</v>
      </c>
      <c r="N494" s="100">
        <v>44511</v>
      </c>
      <c r="O494" s="100">
        <v>44515</v>
      </c>
      <c r="P494" s="92"/>
      <c r="Q494" s="92" t="s">
        <v>2555</v>
      </c>
      <c r="R494" s="92"/>
      <c r="S494" s="92">
        <v>0</v>
      </c>
      <c r="T494" s="92" t="s">
        <v>2574</v>
      </c>
      <c r="U494" s="92"/>
      <c r="V494" s="92"/>
      <c r="W494" s="92"/>
      <c r="X494" s="92"/>
      <c r="Y494" s="92" t="s">
        <v>606</v>
      </c>
      <c r="Z494" s="92" t="s">
        <v>770</v>
      </c>
      <c r="AA494" s="92" t="s">
        <v>2557</v>
      </c>
      <c r="AB494" s="92" t="s">
        <v>2558</v>
      </c>
      <c r="AC494" s="92" t="s">
        <v>790</v>
      </c>
      <c r="AD494" s="92"/>
      <c r="AE494" s="92"/>
      <c r="AF494" s="92"/>
    </row>
    <row r="495" spans="1:32" ht="12.75" customHeight="1">
      <c r="A495" s="92" t="s">
        <v>846</v>
      </c>
      <c r="B495" s="92" t="s">
        <v>67</v>
      </c>
      <c r="C495" s="92" t="s">
        <v>922</v>
      </c>
      <c r="D495" s="92"/>
      <c r="E495" s="92" t="s">
        <v>49</v>
      </c>
      <c r="F495" s="92"/>
      <c r="G495" s="263">
        <v>9963503</v>
      </c>
      <c r="H495" s="263">
        <v>18804620</v>
      </c>
      <c r="I495" s="156" t="s">
        <v>772</v>
      </c>
      <c r="J495" s="263">
        <v>11</v>
      </c>
      <c r="K495" s="263">
        <v>21</v>
      </c>
      <c r="L495" s="96">
        <v>7500</v>
      </c>
      <c r="M495" s="100">
        <v>44511</v>
      </c>
      <c r="N495" s="100">
        <v>44511</v>
      </c>
      <c r="O495" s="100">
        <v>44515</v>
      </c>
      <c r="P495" s="92"/>
      <c r="Q495" s="92" t="s">
        <v>2555</v>
      </c>
      <c r="R495" s="92"/>
      <c r="S495" s="92">
        <v>0</v>
      </c>
      <c r="T495" s="92" t="s">
        <v>2575</v>
      </c>
      <c r="U495" s="92"/>
      <c r="V495" s="92"/>
      <c r="W495" s="92"/>
      <c r="X495" s="92"/>
      <c r="Y495" s="92" t="s">
        <v>606</v>
      </c>
      <c r="Z495" s="92" t="s">
        <v>770</v>
      </c>
      <c r="AA495" s="92" t="s">
        <v>2557</v>
      </c>
      <c r="AB495" s="92" t="s">
        <v>2558</v>
      </c>
      <c r="AC495" s="92" t="s">
        <v>790</v>
      </c>
      <c r="AD495" s="92"/>
      <c r="AE495" s="92"/>
      <c r="AF495" s="92"/>
    </row>
    <row r="496" spans="1:32" ht="12.75" customHeight="1">
      <c r="A496" s="92" t="s">
        <v>846</v>
      </c>
      <c r="B496" s="92" t="s">
        <v>67</v>
      </c>
      <c r="C496" s="92" t="s">
        <v>922</v>
      </c>
      <c r="D496" s="92"/>
      <c r="E496" s="92" t="s">
        <v>49</v>
      </c>
      <c r="F496" s="92"/>
      <c r="G496" s="263">
        <v>9963503</v>
      </c>
      <c r="H496" s="263">
        <v>18804620</v>
      </c>
      <c r="I496" s="156" t="s">
        <v>772</v>
      </c>
      <c r="J496" s="263">
        <v>11</v>
      </c>
      <c r="K496" s="263">
        <v>21</v>
      </c>
      <c r="L496" s="96">
        <v>44500</v>
      </c>
      <c r="M496" s="100">
        <v>44511</v>
      </c>
      <c r="N496" s="100">
        <v>44511</v>
      </c>
      <c r="O496" s="100">
        <v>44515</v>
      </c>
      <c r="P496" s="92"/>
      <c r="Q496" s="92" t="s">
        <v>2555</v>
      </c>
      <c r="R496" s="92"/>
      <c r="S496" s="92">
        <v>0</v>
      </c>
      <c r="T496" s="92" t="s">
        <v>1637</v>
      </c>
      <c r="U496" s="92"/>
      <c r="V496" s="92"/>
      <c r="W496" s="92"/>
      <c r="X496" s="92"/>
      <c r="Y496" s="92" t="s">
        <v>606</v>
      </c>
      <c r="Z496" s="92" t="s">
        <v>770</v>
      </c>
      <c r="AA496" s="92" t="s">
        <v>2557</v>
      </c>
      <c r="AB496" s="92" t="s">
        <v>2558</v>
      </c>
      <c r="AC496" s="92" t="s">
        <v>790</v>
      </c>
      <c r="AD496" s="92"/>
      <c r="AE496" s="92"/>
      <c r="AF496" s="92"/>
    </row>
    <row r="497" spans="1:32" ht="12.75" customHeight="1">
      <c r="A497" s="92" t="s">
        <v>846</v>
      </c>
      <c r="B497" s="92" t="s">
        <v>67</v>
      </c>
      <c r="C497" s="92" t="s">
        <v>922</v>
      </c>
      <c r="D497" s="92"/>
      <c r="E497" s="92" t="s">
        <v>49</v>
      </c>
      <c r="F497" s="92"/>
      <c r="G497" s="263">
        <v>9963503</v>
      </c>
      <c r="H497" s="263">
        <v>18804620</v>
      </c>
      <c r="I497" s="156" t="s">
        <v>772</v>
      </c>
      <c r="J497" s="263">
        <v>11</v>
      </c>
      <c r="K497" s="263">
        <v>21</v>
      </c>
      <c r="L497" s="96">
        <v>5173.07</v>
      </c>
      <c r="M497" s="100">
        <v>44511</v>
      </c>
      <c r="N497" s="100">
        <v>44511</v>
      </c>
      <c r="O497" s="100">
        <v>44515</v>
      </c>
      <c r="P497" s="92"/>
      <c r="Q497" s="92" t="s">
        <v>2555</v>
      </c>
      <c r="R497" s="92"/>
      <c r="S497" s="92">
        <v>0</v>
      </c>
      <c r="T497" s="92" t="s">
        <v>2576</v>
      </c>
      <c r="U497" s="92"/>
      <c r="V497" s="92"/>
      <c r="W497" s="92"/>
      <c r="X497" s="92"/>
      <c r="Y497" s="92" t="s">
        <v>606</v>
      </c>
      <c r="Z497" s="92" t="s">
        <v>770</v>
      </c>
      <c r="AA497" s="92" t="s">
        <v>2557</v>
      </c>
      <c r="AB497" s="92" t="s">
        <v>2558</v>
      </c>
      <c r="AC497" s="92" t="s">
        <v>790</v>
      </c>
      <c r="AD497" s="92"/>
      <c r="AE497" s="92"/>
      <c r="AF497" s="92"/>
    </row>
    <row r="498" spans="1:32" ht="12.75" customHeight="1">
      <c r="A498" s="92" t="s">
        <v>846</v>
      </c>
      <c r="B498" s="92" t="s">
        <v>67</v>
      </c>
      <c r="C498" s="92" t="s">
        <v>922</v>
      </c>
      <c r="D498" s="92"/>
      <c r="E498" s="92" t="s">
        <v>49</v>
      </c>
      <c r="F498" s="92"/>
      <c r="G498" s="263">
        <v>9963503</v>
      </c>
      <c r="H498" s="263">
        <v>18804620</v>
      </c>
      <c r="I498" s="156" t="s">
        <v>772</v>
      </c>
      <c r="J498" s="263">
        <v>11</v>
      </c>
      <c r="K498" s="263">
        <v>21</v>
      </c>
      <c r="L498" s="96">
        <v>75563.75</v>
      </c>
      <c r="M498" s="100">
        <v>44511</v>
      </c>
      <c r="N498" s="100">
        <v>44511</v>
      </c>
      <c r="O498" s="100">
        <v>44515</v>
      </c>
      <c r="P498" s="92"/>
      <c r="Q498" s="92" t="s">
        <v>2555</v>
      </c>
      <c r="R498" s="92"/>
      <c r="S498" s="92">
        <v>0</v>
      </c>
      <c r="T498" s="92" t="s">
        <v>2577</v>
      </c>
      <c r="U498" s="92"/>
      <c r="V498" s="92"/>
      <c r="W498" s="92"/>
      <c r="X498" s="92"/>
      <c r="Y498" s="92" t="s">
        <v>606</v>
      </c>
      <c r="Z498" s="92" t="s">
        <v>770</v>
      </c>
      <c r="AA498" s="92" t="s">
        <v>2557</v>
      </c>
      <c r="AB498" s="92" t="s">
        <v>2558</v>
      </c>
      <c r="AC498" s="92" t="s">
        <v>790</v>
      </c>
      <c r="AD498" s="92"/>
      <c r="AE498" s="92"/>
      <c r="AF498" s="92"/>
    </row>
    <row r="499" spans="1:32" ht="12.75" customHeight="1">
      <c r="A499" s="92" t="s">
        <v>846</v>
      </c>
      <c r="B499" s="92" t="s">
        <v>67</v>
      </c>
      <c r="C499" s="92" t="s">
        <v>922</v>
      </c>
      <c r="D499" s="92"/>
      <c r="E499" s="92" t="s">
        <v>49</v>
      </c>
      <c r="F499" s="92"/>
      <c r="G499" s="263">
        <v>9963503</v>
      </c>
      <c r="H499" s="263">
        <v>18804620</v>
      </c>
      <c r="I499" s="156" t="s">
        <v>772</v>
      </c>
      <c r="J499" s="263">
        <v>11</v>
      </c>
      <c r="K499" s="263">
        <v>21</v>
      </c>
      <c r="L499" s="96">
        <v>53643.98</v>
      </c>
      <c r="M499" s="100">
        <v>44511</v>
      </c>
      <c r="N499" s="100">
        <v>44511</v>
      </c>
      <c r="O499" s="100">
        <v>44515</v>
      </c>
      <c r="P499" s="92"/>
      <c r="Q499" s="92" t="s">
        <v>2555</v>
      </c>
      <c r="R499" s="92"/>
      <c r="S499" s="92">
        <v>0</v>
      </c>
      <c r="T499" s="92" t="s">
        <v>2578</v>
      </c>
      <c r="U499" s="92"/>
      <c r="V499" s="92"/>
      <c r="W499" s="92"/>
      <c r="X499" s="92"/>
      <c r="Y499" s="92" t="s">
        <v>606</v>
      </c>
      <c r="Z499" s="92" t="s">
        <v>770</v>
      </c>
      <c r="AA499" s="92" t="s">
        <v>2557</v>
      </c>
      <c r="AB499" s="92" t="s">
        <v>2558</v>
      </c>
      <c r="AC499" s="92" t="s">
        <v>790</v>
      </c>
      <c r="AD499" s="92"/>
      <c r="AE499" s="92"/>
      <c r="AF499" s="92"/>
    </row>
    <row r="500" spans="1:32" ht="12.75" customHeight="1">
      <c r="A500" s="92" t="s">
        <v>846</v>
      </c>
      <c r="B500" s="92" t="s">
        <v>67</v>
      </c>
      <c r="C500" s="92" t="s">
        <v>922</v>
      </c>
      <c r="D500" s="92"/>
      <c r="E500" s="92" t="s">
        <v>49</v>
      </c>
      <c r="F500" s="92"/>
      <c r="G500" s="263">
        <v>9963503</v>
      </c>
      <c r="H500" s="263">
        <v>18804620</v>
      </c>
      <c r="I500" s="156" t="s">
        <v>772</v>
      </c>
      <c r="J500" s="263">
        <v>11</v>
      </c>
      <c r="K500" s="263">
        <v>21</v>
      </c>
      <c r="L500" s="96">
        <v>22000</v>
      </c>
      <c r="M500" s="100">
        <v>44511</v>
      </c>
      <c r="N500" s="100">
        <v>44511</v>
      </c>
      <c r="O500" s="100">
        <v>44515</v>
      </c>
      <c r="P500" s="92"/>
      <c r="Q500" s="92" t="s">
        <v>2555</v>
      </c>
      <c r="R500" s="92"/>
      <c r="S500" s="92">
        <v>0</v>
      </c>
      <c r="T500" s="92" t="s">
        <v>2579</v>
      </c>
      <c r="U500" s="92"/>
      <c r="V500" s="92"/>
      <c r="W500" s="92"/>
      <c r="X500" s="92"/>
      <c r="Y500" s="92" t="s">
        <v>606</v>
      </c>
      <c r="Z500" s="92" t="s">
        <v>770</v>
      </c>
      <c r="AA500" s="92" t="s">
        <v>2557</v>
      </c>
      <c r="AB500" s="92" t="s">
        <v>2558</v>
      </c>
      <c r="AC500" s="92" t="s">
        <v>790</v>
      </c>
      <c r="AD500" s="92"/>
      <c r="AE500" s="92"/>
      <c r="AF500" s="92"/>
    </row>
    <row r="501" spans="1:32" ht="12.75" customHeight="1">
      <c r="A501" s="92" t="s">
        <v>846</v>
      </c>
      <c r="B501" s="92" t="s">
        <v>67</v>
      </c>
      <c r="C501" s="92" t="s">
        <v>922</v>
      </c>
      <c r="D501" s="92"/>
      <c r="E501" s="92" t="s">
        <v>49</v>
      </c>
      <c r="F501" s="92"/>
      <c r="G501" s="263">
        <v>9963503</v>
      </c>
      <c r="H501" s="263">
        <v>18804620</v>
      </c>
      <c r="I501" s="156" t="s">
        <v>772</v>
      </c>
      <c r="J501" s="263">
        <v>11</v>
      </c>
      <c r="K501" s="263">
        <v>21</v>
      </c>
      <c r="L501" s="96">
        <v>-53643.98</v>
      </c>
      <c r="M501" s="100">
        <v>44511</v>
      </c>
      <c r="N501" s="100">
        <v>44511</v>
      </c>
      <c r="O501" s="100">
        <v>44515</v>
      </c>
      <c r="P501" s="92"/>
      <c r="Q501" s="92" t="s">
        <v>2555</v>
      </c>
      <c r="R501" s="92"/>
      <c r="S501" s="92">
        <v>0</v>
      </c>
      <c r="T501" s="92" t="s">
        <v>1088</v>
      </c>
      <c r="U501" s="92"/>
      <c r="V501" s="92"/>
      <c r="W501" s="92"/>
      <c r="X501" s="92"/>
      <c r="Y501" s="92" t="s">
        <v>606</v>
      </c>
      <c r="Z501" s="92" t="s">
        <v>770</v>
      </c>
      <c r="AA501" s="92" t="s">
        <v>2557</v>
      </c>
      <c r="AB501" s="92" t="s">
        <v>2558</v>
      </c>
      <c r="AC501" s="92" t="s">
        <v>790</v>
      </c>
      <c r="AD501" s="92"/>
      <c r="AE501" s="92"/>
      <c r="AF501" s="92"/>
    </row>
    <row r="502" spans="1:32" ht="12.75" customHeight="1">
      <c r="A502" s="92" t="s">
        <v>846</v>
      </c>
      <c r="B502" s="92" t="s">
        <v>67</v>
      </c>
      <c r="C502" s="92" t="s">
        <v>922</v>
      </c>
      <c r="D502" s="92"/>
      <c r="E502" s="92" t="s">
        <v>49</v>
      </c>
      <c r="F502" s="92"/>
      <c r="G502" s="263">
        <v>9963503</v>
      </c>
      <c r="H502" s="263">
        <v>18804620</v>
      </c>
      <c r="I502" s="156" t="s">
        <v>772</v>
      </c>
      <c r="J502" s="263">
        <v>11</v>
      </c>
      <c r="K502" s="263">
        <v>21</v>
      </c>
      <c r="L502" s="96">
        <v>42500</v>
      </c>
      <c r="M502" s="100">
        <v>44511</v>
      </c>
      <c r="N502" s="100">
        <v>44511</v>
      </c>
      <c r="O502" s="100">
        <v>44515</v>
      </c>
      <c r="P502" s="92"/>
      <c r="Q502" s="92" t="s">
        <v>2555</v>
      </c>
      <c r="R502" s="92"/>
      <c r="S502" s="92">
        <v>0</v>
      </c>
      <c r="T502" s="92" t="s">
        <v>2556</v>
      </c>
      <c r="U502" s="92"/>
      <c r="V502" s="92"/>
      <c r="W502" s="92"/>
      <c r="X502" s="92"/>
      <c r="Y502" s="92" t="s">
        <v>606</v>
      </c>
      <c r="Z502" s="92" t="s">
        <v>770</v>
      </c>
      <c r="AA502" s="92" t="s">
        <v>2557</v>
      </c>
      <c r="AB502" s="92" t="s">
        <v>2558</v>
      </c>
      <c r="AC502" s="92" t="s">
        <v>790</v>
      </c>
      <c r="AD502" s="92"/>
      <c r="AE502" s="92"/>
      <c r="AF502" s="92"/>
    </row>
    <row r="503" spans="1:32" ht="12.75" customHeight="1">
      <c r="A503" s="92" t="s">
        <v>846</v>
      </c>
      <c r="B503" s="92" t="s">
        <v>67</v>
      </c>
      <c r="C503" s="92" t="s">
        <v>922</v>
      </c>
      <c r="D503" s="92"/>
      <c r="E503" s="92" t="s">
        <v>49</v>
      </c>
      <c r="F503" s="92"/>
      <c r="G503" s="263">
        <v>9963503</v>
      </c>
      <c r="H503" s="263">
        <v>18804620</v>
      </c>
      <c r="I503" s="156" t="s">
        <v>772</v>
      </c>
      <c r="J503" s="263">
        <v>11</v>
      </c>
      <c r="K503" s="263">
        <v>21</v>
      </c>
      <c r="L503" s="96">
        <v>-24608.94</v>
      </c>
      <c r="M503" s="100">
        <v>44511</v>
      </c>
      <c r="N503" s="100">
        <v>44511</v>
      </c>
      <c r="O503" s="100">
        <v>44515</v>
      </c>
      <c r="P503" s="92"/>
      <c r="Q503" s="92" t="s">
        <v>2555</v>
      </c>
      <c r="R503" s="92"/>
      <c r="S503" s="92">
        <v>0</v>
      </c>
      <c r="T503" s="92" t="s">
        <v>2580</v>
      </c>
      <c r="U503" s="92"/>
      <c r="V503" s="92"/>
      <c r="W503" s="92"/>
      <c r="X503" s="92"/>
      <c r="Y503" s="92" t="s">
        <v>606</v>
      </c>
      <c r="Z503" s="92" t="s">
        <v>770</v>
      </c>
      <c r="AA503" s="92" t="s">
        <v>2557</v>
      </c>
      <c r="AB503" s="92" t="s">
        <v>2558</v>
      </c>
      <c r="AC503" s="92" t="s">
        <v>790</v>
      </c>
      <c r="AD503" s="92"/>
      <c r="AE503" s="92"/>
      <c r="AF503" s="92"/>
    </row>
    <row r="504" spans="1:32" ht="12.75" customHeight="1">
      <c r="A504" s="92" t="s">
        <v>846</v>
      </c>
      <c r="B504" s="92" t="s">
        <v>67</v>
      </c>
      <c r="C504" s="92" t="s">
        <v>922</v>
      </c>
      <c r="D504" s="92"/>
      <c r="E504" s="92" t="s">
        <v>49</v>
      </c>
      <c r="F504" s="92"/>
      <c r="G504" s="263">
        <v>9963503</v>
      </c>
      <c r="H504" s="263">
        <v>18804620</v>
      </c>
      <c r="I504" s="156" t="s">
        <v>772</v>
      </c>
      <c r="J504" s="263">
        <v>11</v>
      </c>
      <c r="K504" s="263">
        <v>21</v>
      </c>
      <c r="L504" s="96">
        <v>-49500</v>
      </c>
      <c r="M504" s="100">
        <v>44511</v>
      </c>
      <c r="N504" s="100">
        <v>44511</v>
      </c>
      <c r="O504" s="100">
        <v>44515</v>
      </c>
      <c r="P504" s="92"/>
      <c r="Q504" s="92" t="s">
        <v>2555</v>
      </c>
      <c r="R504" s="92"/>
      <c r="S504" s="92">
        <v>0</v>
      </c>
      <c r="T504" s="92" t="s">
        <v>1654</v>
      </c>
      <c r="U504" s="92"/>
      <c r="V504" s="92"/>
      <c r="W504" s="92"/>
      <c r="X504" s="92"/>
      <c r="Y504" s="92" t="s">
        <v>606</v>
      </c>
      <c r="Z504" s="92" t="s">
        <v>770</v>
      </c>
      <c r="AA504" s="92" t="s">
        <v>2557</v>
      </c>
      <c r="AB504" s="92" t="s">
        <v>2558</v>
      </c>
      <c r="AC504" s="92" t="s">
        <v>790</v>
      </c>
      <c r="AD504" s="92"/>
      <c r="AE504" s="92"/>
      <c r="AF504" s="92"/>
    </row>
    <row r="505" spans="1:32" ht="12.75" customHeight="1">
      <c r="A505" s="92" t="s">
        <v>846</v>
      </c>
      <c r="B505" s="92" t="s">
        <v>67</v>
      </c>
      <c r="C505" s="92" t="s">
        <v>922</v>
      </c>
      <c r="D505" s="92"/>
      <c r="E505" s="92" t="s">
        <v>49</v>
      </c>
      <c r="F505" s="92"/>
      <c r="G505" s="263">
        <v>9963503</v>
      </c>
      <c r="H505" s="263">
        <v>18804620</v>
      </c>
      <c r="I505" s="156" t="s">
        <v>772</v>
      </c>
      <c r="J505" s="263">
        <v>11</v>
      </c>
      <c r="K505" s="263">
        <v>21</v>
      </c>
      <c r="L505" s="96">
        <v>-1426.3</v>
      </c>
      <c r="M505" s="100">
        <v>44511</v>
      </c>
      <c r="N505" s="100">
        <v>44511</v>
      </c>
      <c r="O505" s="100">
        <v>44515</v>
      </c>
      <c r="P505" s="92"/>
      <c r="Q505" s="92" t="s">
        <v>2555</v>
      </c>
      <c r="R505" s="92"/>
      <c r="S505" s="92">
        <v>0</v>
      </c>
      <c r="T505" s="92" t="s">
        <v>2581</v>
      </c>
      <c r="U505" s="92"/>
      <c r="V505" s="92"/>
      <c r="W505" s="92"/>
      <c r="X505" s="92"/>
      <c r="Y505" s="92" t="s">
        <v>606</v>
      </c>
      <c r="Z505" s="92" t="s">
        <v>770</v>
      </c>
      <c r="AA505" s="92" t="s">
        <v>2557</v>
      </c>
      <c r="AB505" s="92" t="s">
        <v>2558</v>
      </c>
      <c r="AC505" s="92" t="s">
        <v>790</v>
      </c>
      <c r="AD505" s="92"/>
      <c r="AE505" s="92"/>
      <c r="AF505" s="92"/>
    </row>
    <row r="506" spans="1:32" ht="12.75" customHeight="1">
      <c r="A506" s="92" t="s">
        <v>846</v>
      </c>
      <c r="B506" s="92" t="s">
        <v>67</v>
      </c>
      <c r="C506" s="92" t="s">
        <v>922</v>
      </c>
      <c r="D506" s="92"/>
      <c r="E506" s="92" t="s">
        <v>49</v>
      </c>
      <c r="F506" s="92"/>
      <c r="G506" s="263">
        <v>9963503</v>
      </c>
      <c r="H506" s="263">
        <v>18804620</v>
      </c>
      <c r="I506" s="156" t="s">
        <v>772</v>
      </c>
      <c r="J506" s="263">
        <v>11</v>
      </c>
      <c r="K506" s="263">
        <v>21</v>
      </c>
      <c r="L506" s="96">
        <v>-29561.9</v>
      </c>
      <c r="M506" s="100">
        <v>44511</v>
      </c>
      <c r="N506" s="100">
        <v>44511</v>
      </c>
      <c r="O506" s="100">
        <v>44515</v>
      </c>
      <c r="P506" s="92"/>
      <c r="Q506" s="92" t="s">
        <v>2555</v>
      </c>
      <c r="R506" s="92"/>
      <c r="S506" s="92">
        <v>0</v>
      </c>
      <c r="T506" s="92" t="s">
        <v>1111</v>
      </c>
      <c r="U506" s="92"/>
      <c r="V506" s="92"/>
      <c r="W506" s="92"/>
      <c r="X506" s="92"/>
      <c r="Y506" s="92" t="s">
        <v>606</v>
      </c>
      <c r="Z506" s="92" t="s">
        <v>770</v>
      </c>
      <c r="AA506" s="92" t="s">
        <v>2557</v>
      </c>
      <c r="AB506" s="92" t="s">
        <v>2558</v>
      </c>
      <c r="AC506" s="92" t="s">
        <v>790</v>
      </c>
      <c r="AD506" s="92"/>
      <c r="AE506" s="92"/>
      <c r="AF506" s="92"/>
    </row>
    <row r="507" spans="1:32" ht="12.75" customHeight="1">
      <c r="A507" s="92" t="s">
        <v>846</v>
      </c>
      <c r="B507" s="92" t="s">
        <v>67</v>
      </c>
      <c r="C507" s="92" t="s">
        <v>922</v>
      </c>
      <c r="D507" s="92"/>
      <c r="E507" s="92" t="s">
        <v>49</v>
      </c>
      <c r="F507" s="92"/>
      <c r="G507" s="263">
        <v>9963503</v>
      </c>
      <c r="H507" s="263">
        <v>18804620</v>
      </c>
      <c r="I507" s="156" t="s">
        <v>772</v>
      </c>
      <c r="J507" s="263">
        <v>11</v>
      </c>
      <c r="K507" s="263">
        <v>21</v>
      </c>
      <c r="L507" s="96">
        <v>-25000</v>
      </c>
      <c r="M507" s="100">
        <v>44511</v>
      </c>
      <c r="N507" s="100">
        <v>44511</v>
      </c>
      <c r="O507" s="100">
        <v>44515</v>
      </c>
      <c r="P507" s="92"/>
      <c r="Q507" s="92" t="s">
        <v>2555</v>
      </c>
      <c r="R507" s="92"/>
      <c r="S507" s="92">
        <v>0</v>
      </c>
      <c r="T507" s="92" t="s">
        <v>2582</v>
      </c>
      <c r="U507" s="92"/>
      <c r="V507" s="92"/>
      <c r="W507" s="92"/>
      <c r="X507" s="92"/>
      <c r="Y507" s="92" t="s">
        <v>606</v>
      </c>
      <c r="Z507" s="92" t="s">
        <v>770</v>
      </c>
      <c r="AA507" s="92" t="s">
        <v>2557</v>
      </c>
      <c r="AB507" s="92" t="s">
        <v>2558</v>
      </c>
      <c r="AC507" s="92" t="s">
        <v>790</v>
      </c>
      <c r="AD507" s="92"/>
      <c r="AE507" s="92"/>
      <c r="AF507" s="92"/>
    </row>
    <row r="508" spans="1:32" ht="12.75" customHeight="1">
      <c r="A508" s="92" t="s">
        <v>846</v>
      </c>
      <c r="B508" s="92" t="s">
        <v>67</v>
      </c>
      <c r="C508" s="92" t="s">
        <v>922</v>
      </c>
      <c r="D508" s="92"/>
      <c r="E508" s="92" t="s">
        <v>49</v>
      </c>
      <c r="F508" s="92"/>
      <c r="G508" s="263">
        <v>9963503</v>
      </c>
      <c r="H508" s="263">
        <v>18804620</v>
      </c>
      <c r="I508" s="156" t="s">
        <v>772</v>
      </c>
      <c r="J508" s="263">
        <v>11</v>
      </c>
      <c r="K508" s="263">
        <v>21</v>
      </c>
      <c r="L508" s="96">
        <v>35000</v>
      </c>
      <c r="M508" s="100">
        <v>44511</v>
      </c>
      <c r="N508" s="100">
        <v>44511</v>
      </c>
      <c r="O508" s="100">
        <v>44515</v>
      </c>
      <c r="P508" s="92"/>
      <c r="Q508" s="92" t="s">
        <v>2555</v>
      </c>
      <c r="R508" s="92"/>
      <c r="S508" s="92">
        <v>0</v>
      </c>
      <c r="T508" s="92" t="s">
        <v>2583</v>
      </c>
      <c r="U508" s="92"/>
      <c r="V508" s="92"/>
      <c r="W508" s="92"/>
      <c r="X508" s="92"/>
      <c r="Y508" s="92" t="s">
        <v>606</v>
      </c>
      <c r="Z508" s="92" t="s">
        <v>770</v>
      </c>
      <c r="AA508" s="92" t="s">
        <v>2557</v>
      </c>
      <c r="AB508" s="92" t="s">
        <v>2558</v>
      </c>
      <c r="AC508" s="92" t="s">
        <v>790</v>
      </c>
      <c r="AD508" s="92"/>
      <c r="AE508" s="92"/>
      <c r="AF508" s="92"/>
    </row>
    <row r="509" spans="1:32" ht="12.75" customHeight="1">
      <c r="A509" s="92" t="s">
        <v>846</v>
      </c>
      <c r="B509" s="92" t="s">
        <v>67</v>
      </c>
      <c r="C509" s="92" t="s">
        <v>922</v>
      </c>
      <c r="D509" s="92"/>
      <c r="E509" s="92" t="s">
        <v>49</v>
      </c>
      <c r="F509" s="92"/>
      <c r="G509" s="263">
        <v>9963503</v>
      </c>
      <c r="H509" s="263">
        <v>18804620</v>
      </c>
      <c r="I509" s="156" t="s">
        <v>772</v>
      </c>
      <c r="J509" s="263">
        <v>11</v>
      </c>
      <c r="K509" s="263">
        <v>21</v>
      </c>
      <c r="L509" s="96">
        <v>-5173.07</v>
      </c>
      <c r="M509" s="100">
        <v>44511</v>
      </c>
      <c r="N509" s="100">
        <v>44511</v>
      </c>
      <c r="O509" s="100">
        <v>44515</v>
      </c>
      <c r="P509" s="92"/>
      <c r="Q509" s="92" t="s">
        <v>2555</v>
      </c>
      <c r="R509" s="92"/>
      <c r="S509" s="92">
        <v>0</v>
      </c>
      <c r="T509" s="92" t="s">
        <v>2584</v>
      </c>
      <c r="U509" s="92"/>
      <c r="V509" s="92"/>
      <c r="W509" s="92"/>
      <c r="X509" s="92"/>
      <c r="Y509" s="92" t="s">
        <v>606</v>
      </c>
      <c r="Z509" s="92" t="s">
        <v>770</v>
      </c>
      <c r="AA509" s="92" t="s">
        <v>2557</v>
      </c>
      <c r="AB509" s="92" t="s">
        <v>2558</v>
      </c>
      <c r="AC509" s="92" t="s">
        <v>790</v>
      </c>
      <c r="AD509" s="92"/>
      <c r="AE509" s="92"/>
      <c r="AF509" s="92"/>
    </row>
    <row r="510" spans="1:32" ht="12.75" customHeight="1">
      <c r="A510" s="92" t="s">
        <v>846</v>
      </c>
      <c r="B510" s="92" t="s">
        <v>67</v>
      </c>
      <c r="C510" s="92" t="s">
        <v>922</v>
      </c>
      <c r="D510" s="92"/>
      <c r="E510" s="92" t="s">
        <v>49</v>
      </c>
      <c r="F510" s="92"/>
      <c r="G510" s="263">
        <v>9963503</v>
      </c>
      <c r="H510" s="263">
        <v>18804620</v>
      </c>
      <c r="I510" s="156" t="s">
        <v>772</v>
      </c>
      <c r="J510" s="263">
        <v>11</v>
      </c>
      <c r="K510" s="263">
        <v>21</v>
      </c>
      <c r="L510" s="96">
        <v>-13280</v>
      </c>
      <c r="M510" s="100">
        <v>44511</v>
      </c>
      <c r="N510" s="100">
        <v>44511</v>
      </c>
      <c r="O510" s="100">
        <v>44515</v>
      </c>
      <c r="P510" s="92"/>
      <c r="Q510" s="92" t="s">
        <v>2555</v>
      </c>
      <c r="R510" s="92"/>
      <c r="S510" s="92">
        <v>0</v>
      </c>
      <c r="T510" s="92" t="s">
        <v>2585</v>
      </c>
      <c r="U510" s="92"/>
      <c r="V510" s="92"/>
      <c r="W510" s="92"/>
      <c r="X510" s="92"/>
      <c r="Y510" s="92" t="s">
        <v>606</v>
      </c>
      <c r="Z510" s="92" t="s">
        <v>770</v>
      </c>
      <c r="AA510" s="92" t="s">
        <v>2557</v>
      </c>
      <c r="AB510" s="92" t="s">
        <v>2558</v>
      </c>
      <c r="AC510" s="92" t="s">
        <v>790</v>
      </c>
      <c r="AD510" s="92"/>
      <c r="AE510" s="92"/>
      <c r="AF510" s="92"/>
    </row>
    <row r="511" spans="1:32" ht="12.75" customHeight="1">
      <c r="A511" s="92" t="s">
        <v>846</v>
      </c>
      <c r="B511" s="92" t="s">
        <v>67</v>
      </c>
      <c r="C511" s="92" t="s">
        <v>922</v>
      </c>
      <c r="D511" s="92"/>
      <c r="E511" s="92" t="s">
        <v>49</v>
      </c>
      <c r="F511" s="92"/>
      <c r="G511" s="263">
        <v>9963503</v>
      </c>
      <c r="H511" s="263">
        <v>18804620</v>
      </c>
      <c r="I511" s="156" t="s">
        <v>772</v>
      </c>
      <c r="J511" s="263">
        <v>11</v>
      </c>
      <c r="K511" s="263">
        <v>21</v>
      </c>
      <c r="L511" s="96">
        <v>-7592.5</v>
      </c>
      <c r="M511" s="100">
        <v>44511</v>
      </c>
      <c r="N511" s="100">
        <v>44511</v>
      </c>
      <c r="O511" s="100">
        <v>44515</v>
      </c>
      <c r="P511" s="92"/>
      <c r="Q511" s="92" t="s">
        <v>2555</v>
      </c>
      <c r="R511" s="92"/>
      <c r="S511" s="92">
        <v>0</v>
      </c>
      <c r="T511" s="92" t="s">
        <v>2586</v>
      </c>
      <c r="U511" s="92"/>
      <c r="V511" s="92"/>
      <c r="W511" s="92"/>
      <c r="X511" s="92"/>
      <c r="Y511" s="92" t="s">
        <v>606</v>
      </c>
      <c r="Z511" s="92" t="s">
        <v>770</v>
      </c>
      <c r="AA511" s="92" t="s">
        <v>2557</v>
      </c>
      <c r="AB511" s="92" t="s">
        <v>2558</v>
      </c>
      <c r="AC511" s="92" t="s">
        <v>790</v>
      </c>
      <c r="AD511" s="92"/>
      <c r="AE511" s="92"/>
      <c r="AF511" s="92"/>
    </row>
    <row r="512" spans="1:32" ht="12.75" customHeight="1">
      <c r="A512" s="92" t="s">
        <v>846</v>
      </c>
      <c r="B512" s="92" t="s">
        <v>67</v>
      </c>
      <c r="C512" s="92" t="s">
        <v>922</v>
      </c>
      <c r="D512" s="92"/>
      <c r="E512" s="92" t="s">
        <v>49</v>
      </c>
      <c r="F512" s="92"/>
      <c r="G512" s="263">
        <v>9963503</v>
      </c>
      <c r="H512" s="263">
        <v>18804620</v>
      </c>
      <c r="I512" s="156" t="s">
        <v>772</v>
      </c>
      <c r="J512" s="263">
        <v>11</v>
      </c>
      <c r="K512" s="263">
        <v>21</v>
      </c>
      <c r="L512" s="96">
        <v>-9501.2099999999991</v>
      </c>
      <c r="M512" s="100">
        <v>44511</v>
      </c>
      <c r="N512" s="100">
        <v>44511</v>
      </c>
      <c r="O512" s="100">
        <v>44515</v>
      </c>
      <c r="P512" s="92"/>
      <c r="Q512" s="92" t="s">
        <v>2555</v>
      </c>
      <c r="R512" s="92"/>
      <c r="S512" s="92">
        <v>0</v>
      </c>
      <c r="T512" s="92" t="s">
        <v>2587</v>
      </c>
      <c r="U512" s="92"/>
      <c r="V512" s="92"/>
      <c r="W512" s="92"/>
      <c r="X512" s="92"/>
      <c r="Y512" s="92" t="s">
        <v>606</v>
      </c>
      <c r="Z512" s="92" t="s">
        <v>770</v>
      </c>
      <c r="AA512" s="92" t="s">
        <v>2557</v>
      </c>
      <c r="AB512" s="92" t="s">
        <v>2558</v>
      </c>
      <c r="AC512" s="92" t="s">
        <v>790</v>
      </c>
      <c r="AD512" s="92"/>
      <c r="AE512" s="92"/>
      <c r="AF512" s="92"/>
    </row>
    <row r="513" spans="1:32" ht="12.75" customHeight="1">
      <c r="A513" s="92" t="s">
        <v>846</v>
      </c>
      <c r="B513" s="92" t="s">
        <v>67</v>
      </c>
      <c r="C513" s="92" t="s">
        <v>922</v>
      </c>
      <c r="D513" s="92"/>
      <c r="E513" s="92" t="s">
        <v>49</v>
      </c>
      <c r="F513" s="92"/>
      <c r="G513" s="263">
        <v>9963503</v>
      </c>
      <c r="H513" s="263">
        <v>18804620</v>
      </c>
      <c r="I513" s="156" t="s">
        <v>772</v>
      </c>
      <c r="J513" s="263">
        <v>11</v>
      </c>
      <c r="K513" s="263">
        <v>21</v>
      </c>
      <c r="L513" s="96">
        <v>-8229.56</v>
      </c>
      <c r="M513" s="100">
        <v>44511</v>
      </c>
      <c r="N513" s="100">
        <v>44511</v>
      </c>
      <c r="O513" s="100">
        <v>44515</v>
      </c>
      <c r="P513" s="92"/>
      <c r="Q513" s="92" t="s">
        <v>2555</v>
      </c>
      <c r="R513" s="92"/>
      <c r="S513" s="92">
        <v>0</v>
      </c>
      <c r="T513" s="92" t="s">
        <v>2588</v>
      </c>
      <c r="U513" s="92"/>
      <c r="V513" s="92"/>
      <c r="W513" s="92"/>
      <c r="X513" s="92"/>
      <c r="Y513" s="92" t="s">
        <v>606</v>
      </c>
      <c r="Z513" s="92" t="s">
        <v>770</v>
      </c>
      <c r="AA513" s="92" t="s">
        <v>2557</v>
      </c>
      <c r="AB513" s="92" t="s">
        <v>2558</v>
      </c>
      <c r="AC513" s="92" t="s">
        <v>790</v>
      </c>
      <c r="AD513" s="92"/>
      <c r="AE513" s="92"/>
      <c r="AF513" s="92"/>
    </row>
    <row r="514" spans="1:32" ht="12.75" customHeight="1">
      <c r="A514" s="92" t="s">
        <v>846</v>
      </c>
      <c r="B514" s="92" t="s">
        <v>67</v>
      </c>
      <c r="C514" s="92" t="s">
        <v>922</v>
      </c>
      <c r="D514" s="92"/>
      <c r="E514" s="92" t="s">
        <v>49</v>
      </c>
      <c r="F514" s="92"/>
      <c r="G514" s="263">
        <v>9963503</v>
      </c>
      <c r="H514" s="263">
        <v>18804620</v>
      </c>
      <c r="I514" s="156" t="s">
        <v>772</v>
      </c>
      <c r="J514" s="263">
        <v>11</v>
      </c>
      <c r="K514" s="263">
        <v>21</v>
      </c>
      <c r="L514" s="96">
        <v>-35000</v>
      </c>
      <c r="M514" s="100">
        <v>44511</v>
      </c>
      <c r="N514" s="100">
        <v>44511</v>
      </c>
      <c r="O514" s="100">
        <v>44515</v>
      </c>
      <c r="P514" s="92"/>
      <c r="Q514" s="92" t="s">
        <v>2555</v>
      </c>
      <c r="R514" s="92"/>
      <c r="S514" s="92">
        <v>0</v>
      </c>
      <c r="T514" s="92" t="s">
        <v>2589</v>
      </c>
      <c r="U514" s="92"/>
      <c r="V514" s="92"/>
      <c r="W514" s="92"/>
      <c r="X514" s="92"/>
      <c r="Y514" s="92" t="s">
        <v>606</v>
      </c>
      <c r="Z514" s="92" t="s">
        <v>770</v>
      </c>
      <c r="AA514" s="92" t="s">
        <v>2557</v>
      </c>
      <c r="AB514" s="92" t="s">
        <v>2558</v>
      </c>
      <c r="AC514" s="92" t="s">
        <v>790</v>
      </c>
      <c r="AD514" s="92"/>
      <c r="AE514" s="92"/>
      <c r="AF514" s="92"/>
    </row>
    <row r="515" spans="1:32" ht="12.75" customHeight="1">
      <c r="A515" s="92" t="s">
        <v>846</v>
      </c>
      <c r="B515" s="92" t="s">
        <v>67</v>
      </c>
      <c r="C515" s="92" t="s">
        <v>922</v>
      </c>
      <c r="D515" s="92"/>
      <c r="E515" s="92" t="s">
        <v>49</v>
      </c>
      <c r="F515" s="92"/>
      <c r="G515" s="263">
        <v>9963503</v>
      </c>
      <c r="H515" s="263">
        <v>18804620</v>
      </c>
      <c r="I515" s="156" t="s">
        <v>772</v>
      </c>
      <c r="J515" s="263">
        <v>11</v>
      </c>
      <c r="K515" s="263">
        <v>21</v>
      </c>
      <c r="L515" s="96">
        <v>-570.42999999999995</v>
      </c>
      <c r="M515" s="100">
        <v>44511</v>
      </c>
      <c r="N515" s="100">
        <v>44511</v>
      </c>
      <c r="O515" s="100">
        <v>44515</v>
      </c>
      <c r="P515" s="92"/>
      <c r="Q515" s="92" t="s">
        <v>2555</v>
      </c>
      <c r="R515" s="92"/>
      <c r="S515" s="92">
        <v>0</v>
      </c>
      <c r="T515" s="92" t="s">
        <v>2590</v>
      </c>
      <c r="U515" s="92"/>
      <c r="V515" s="92"/>
      <c r="W515" s="92"/>
      <c r="X515" s="92"/>
      <c r="Y515" s="92" t="s">
        <v>606</v>
      </c>
      <c r="Z515" s="92" t="s">
        <v>770</v>
      </c>
      <c r="AA515" s="92" t="s">
        <v>2557</v>
      </c>
      <c r="AB515" s="92" t="s">
        <v>2558</v>
      </c>
      <c r="AC515" s="92" t="s">
        <v>790</v>
      </c>
      <c r="AD515" s="92"/>
      <c r="AE515" s="92"/>
      <c r="AF515" s="92"/>
    </row>
    <row r="516" spans="1:32" ht="12.75" customHeight="1">
      <c r="A516" s="92" t="s">
        <v>846</v>
      </c>
      <c r="B516" s="92" t="s">
        <v>67</v>
      </c>
      <c r="C516" s="92" t="s">
        <v>922</v>
      </c>
      <c r="D516" s="92"/>
      <c r="E516" s="92" t="s">
        <v>49</v>
      </c>
      <c r="F516" s="92"/>
      <c r="G516" s="263">
        <v>9963503</v>
      </c>
      <c r="H516" s="263">
        <v>18804620</v>
      </c>
      <c r="I516" s="156" t="s">
        <v>772</v>
      </c>
      <c r="J516" s="263">
        <v>11</v>
      </c>
      <c r="K516" s="263">
        <v>21</v>
      </c>
      <c r="L516" s="96">
        <v>-8465.6200000000008</v>
      </c>
      <c r="M516" s="100">
        <v>44511</v>
      </c>
      <c r="N516" s="100">
        <v>44511</v>
      </c>
      <c r="O516" s="100">
        <v>44515</v>
      </c>
      <c r="P516" s="92"/>
      <c r="Q516" s="92" t="s">
        <v>2555</v>
      </c>
      <c r="R516" s="92"/>
      <c r="S516" s="92">
        <v>0</v>
      </c>
      <c r="T516" s="92" t="s">
        <v>2591</v>
      </c>
      <c r="U516" s="92"/>
      <c r="V516" s="92"/>
      <c r="W516" s="92"/>
      <c r="X516" s="92"/>
      <c r="Y516" s="92" t="s">
        <v>606</v>
      </c>
      <c r="Z516" s="92" t="s">
        <v>770</v>
      </c>
      <c r="AA516" s="92" t="s">
        <v>2557</v>
      </c>
      <c r="AB516" s="92" t="s">
        <v>2558</v>
      </c>
      <c r="AC516" s="92" t="s">
        <v>790</v>
      </c>
      <c r="AD516" s="92"/>
      <c r="AE516" s="92"/>
      <c r="AF516" s="92"/>
    </row>
    <row r="517" spans="1:32" ht="12.75" customHeight="1">
      <c r="A517" s="92" t="s">
        <v>892</v>
      </c>
      <c r="B517" s="92" t="s">
        <v>50</v>
      </c>
      <c r="C517" s="92" t="s">
        <v>922</v>
      </c>
      <c r="D517" s="92"/>
      <c r="E517" s="92" t="s">
        <v>49</v>
      </c>
      <c r="F517" s="92"/>
      <c r="G517" s="263">
        <v>9956196</v>
      </c>
      <c r="H517" s="263">
        <v>18764134</v>
      </c>
      <c r="I517" s="156" t="s">
        <v>772</v>
      </c>
      <c r="J517" s="263">
        <v>11</v>
      </c>
      <c r="K517" s="263">
        <v>21</v>
      </c>
      <c r="L517" s="96">
        <v>-150000</v>
      </c>
      <c r="M517" s="100">
        <v>44501</v>
      </c>
      <c r="N517" s="100">
        <v>44501</v>
      </c>
      <c r="O517" s="100">
        <v>44498</v>
      </c>
      <c r="P517" s="92" t="s">
        <v>2592</v>
      </c>
      <c r="Q517" s="92" t="s">
        <v>2593</v>
      </c>
      <c r="R517" s="92"/>
      <c r="S517" s="92">
        <v>0</v>
      </c>
      <c r="T517" s="92" t="s">
        <v>2594</v>
      </c>
      <c r="U517" s="92"/>
      <c r="V517" s="92"/>
      <c r="W517" s="92" t="s">
        <v>773</v>
      </c>
      <c r="X517" s="92"/>
      <c r="Y517" s="92" t="s">
        <v>606</v>
      </c>
      <c r="Z517" s="92" t="s">
        <v>770</v>
      </c>
      <c r="AA517" s="92" t="s">
        <v>2254</v>
      </c>
      <c r="AB517" s="92" t="s">
        <v>1305</v>
      </c>
      <c r="AC517" s="92" t="s">
        <v>925</v>
      </c>
      <c r="AD517" s="92" t="s">
        <v>2492</v>
      </c>
      <c r="AE517" s="92"/>
      <c r="AF517" s="92"/>
    </row>
    <row r="518" spans="1:32" ht="12.75" customHeight="1">
      <c r="A518" s="92" t="s">
        <v>892</v>
      </c>
      <c r="B518" s="92" t="s">
        <v>50</v>
      </c>
      <c r="C518" s="92" t="s">
        <v>922</v>
      </c>
      <c r="D518" s="92"/>
      <c r="E518" s="92" t="s">
        <v>49</v>
      </c>
      <c r="F518" s="92"/>
      <c r="G518" s="263">
        <v>9956196</v>
      </c>
      <c r="H518" s="263">
        <v>18764134</v>
      </c>
      <c r="I518" s="156" t="s">
        <v>772</v>
      </c>
      <c r="J518" s="263">
        <v>11</v>
      </c>
      <c r="K518" s="263">
        <v>21</v>
      </c>
      <c r="L518" s="96">
        <v>-5000</v>
      </c>
      <c r="M518" s="100">
        <v>44501</v>
      </c>
      <c r="N518" s="100">
        <v>44501</v>
      </c>
      <c r="O518" s="100">
        <v>44498</v>
      </c>
      <c r="P518" s="92" t="s">
        <v>2595</v>
      </c>
      <c r="Q518" s="92" t="s">
        <v>2593</v>
      </c>
      <c r="R518" s="92"/>
      <c r="S518" s="92">
        <v>0</v>
      </c>
      <c r="T518" s="92" t="s">
        <v>2596</v>
      </c>
      <c r="U518" s="92"/>
      <c r="V518" s="92"/>
      <c r="W518" s="92" t="s">
        <v>773</v>
      </c>
      <c r="X518" s="92"/>
      <c r="Y518" s="92" t="s">
        <v>606</v>
      </c>
      <c r="Z518" s="92" t="s">
        <v>770</v>
      </c>
      <c r="AA518" s="92" t="s">
        <v>2254</v>
      </c>
      <c r="AB518" s="92" t="s">
        <v>1305</v>
      </c>
      <c r="AC518" s="92" t="s">
        <v>925</v>
      </c>
      <c r="AD518" s="92" t="s">
        <v>2493</v>
      </c>
      <c r="AE518" s="92"/>
      <c r="AF518" s="92"/>
    </row>
    <row r="519" spans="1:32" ht="12.75" customHeight="1">
      <c r="A519" s="92" t="s">
        <v>892</v>
      </c>
      <c r="B519" s="92" t="s">
        <v>50</v>
      </c>
      <c r="C519" s="92" t="s">
        <v>922</v>
      </c>
      <c r="D519" s="92"/>
      <c r="E519" s="92" t="s">
        <v>49</v>
      </c>
      <c r="F519" s="92"/>
      <c r="G519" s="263">
        <v>9956196</v>
      </c>
      <c r="H519" s="263">
        <v>18764134</v>
      </c>
      <c r="I519" s="156" t="s">
        <v>772</v>
      </c>
      <c r="J519" s="263">
        <v>11</v>
      </c>
      <c r="K519" s="263">
        <v>21</v>
      </c>
      <c r="L519" s="96">
        <v>-40000</v>
      </c>
      <c r="M519" s="100">
        <v>44501</v>
      </c>
      <c r="N519" s="100">
        <v>44501</v>
      </c>
      <c r="O519" s="100">
        <v>44498</v>
      </c>
      <c r="P519" s="92" t="s">
        <v>2597</v>
      </c>
      <c r="Q519" s="92" t="s">
        <v>2593</v>
      </c>
      <c r="R519" s="92"/>
      <c r="S519" s="92">
        <v>0</v>
      </c>
      <c r="T519" s="92" t="s">
        <v>2598</v>
      </c>
      <c r="U519" s="92"/>
      <c r="V519" s="92"/>
      <c r="W519" s="92" t="s">
        <v>773</v>
      </c>
      <c r="X519" s="92"/>
      <c r="Y519" s="92" t="s">
        <v>606</v>
      </c>
      <c r="Z519" s="92" t="s">
        <v>770</v>
      </c>
      <c r="AA519" s="92" t="s">
        <v>2254</v>
      </c>
      <c r="AB519" s="92" t="s">
        <v>1305</v>
      </c>
      <c r="AC519" s="92" t="s">
        <v>925</v>
      </c>
      <c r="AD519" s="92" t="s">
        <v>2494</v>
      </c>
      <c r="AE519" s="92"/>
      <c r="AF519" s="92"/>
    </row>
    <row r="520" spans="1:32" ht="12.75" customHeight="1">
      <c r="A520" s="92" t="s">
        <v>892</v>
      </c>
      <c r="B520" s="92" t="s">
        <v>50</v>
      </c>
      <c r="C520" s="92" t="s">
        <v>922</v>
      </c>
      <c r="D520" s="92"/>
      <c r="E520" s="92" t="s">
        <v>49</v>
      </c>
      <c r="F520" s="92"/>
      <c r="G520" s="263">
        <v>9956196</v>
      </c>
      <c r="H520" s="263">
        <v>18764134</v>
      </c>
      <c r="I520" s="156" t="s">
        <v>772</v>
      </c>
      <c r="J520" s="263">
        <v>11</v>
      </c>
      <c r="K520" s="263">
        <v>21</v>
      </c>
      <c r="L520" s="96">
        <v>-40000</v>
      </c>
      <c r="M520" s="100">
        <v>44501</v>
      </c>
      <c r="N520" s="100">
        <v>44501</v>
      </c>
      <c r="O520" s="100">
        <v>44498</v>
      </c>
      <c r="P520" s="92" t="s">
        <v>2599</v>
      </c>
      <c r="Q520" s="92" t="s">
        <v>2593</v>
      </c>
      <c r="R520" s="92"/>
      <c r="S520" s="92">
        <v>0</v>
      </c>
      <c r="T520" s="92" t="s">
        <v>2600</v>
      </c>
      <c r="U520" s="92"/>
      <c r="V520" s="92"/>
      <c r="W520" s="92" t="s">
        <v>773</v>
      </c>
      <c r="X520" s="92"/>
      <c r="Y520" s="92" t="s">
        <v>606</v>
      </c>
      <c r="Z520" s="92" t="s">
        <v>770</v>
      </c>
      <c r="AA520" s="92" t="s">
        <v>2254</v>
      </c>
      <c r="AB520" s="92" t="s">
        <v>1305</v>
      </c>
      <c r="AC520" s="92" t="s">
        <v>925</v>
      </c>
      <c r="AD520" s="92" t="s">
        <v>2495</v>
      </c>
      <c r="AE520" s="92"/>
      <c r="AF520" s="92"/>
    </row>
    <row r="521" spans="1:32" ht="12.75" customHeight="1">
      <c r="A521" s="92" t="s">
        <v>892</v>
      </c>
      <c r="B521" s="92" t="s">
        <v>50</v>
      </c>
      <c r="C521" s="92" t="s">
        <v>922</v>
      </c>
      <c r="D521" s="92"/>
      <c r="E521" s="92" t="s">
        <v>775</v>
      </c>
      <c r="F521" s="92"/>
      <c r="G521" s="263">
        <v>9953713</v>
      </c>
      <c r="H521" s="263">
        <v>3891193</v>
      </c>
      <c r="I521" s="156" t="s">
        <v>776</v>
      </c>
      <c r="J521" s="263">
        <v>11</v>
      </c>
      <c r="K521" s="263">
        <v>21</v>
      </c>
      <c r="L521" s="96">
        <v>937475.46</v>
      </c>
      <c r="M521" s="100">
        <v>44500</v>
      </c>
      <c r="N521" s="100">
        <v>44501</v>
      </c>
      <c r="O521" s="100">
        <v>44491</v>
      </c>
      <c r="P521" s="92" t="s">
        <v>777</v>
      </c>
      <c r="Q521" s="92" t="s">
        <v>619</v>
      </c>
      <c r="R521" s="92"/>
      <c r="S521" s="92" t="s">
        <v>2601</v>
      </c>
      <c r="T521" s="92" t="s">
        <v>2602</v>
      </c>
      <c r="U521" s="92"/>
      <c r="V521" s="92"/>
      <c r="W521" s="92"/>
      <c r="X521" s="92"/>
      <c r="Y521" s="92" t="s">
        <v>606</v>
      </c>
      <c r="Z521" s="92" t="s">
        <v>770</v>
      </c>
      <c r="AA521" s="92" t="s">
        <v>778</v>
      </c>
      <c r="AB521" s="92" t="s">
        <v>778</v>
      </c>
      <c r="AC521" s="92" t="s">
        <v>925</v>
      </c>
      <c r="AD521" s="92"/>
      <c r="AE521" s="92"/>
      <c r="AF521" s="92"/>
    </row>
    <row r="522" spans="1:32" ht="12.75" customHeight="1">
      <c r="A522" s="92" t="s">
        <v>892</v>
      </c>
      <c r="B522" s="92" t="s">
        <v>50</v>
      </c>
      <c r="C522" s="92" t="s">
        <v>922</v>
      </c>
      <c r="D522" s="92"/>
      <c r="E522" s="92" t="s">
        <v>49</v>
      </c>
      <c r="F522" s="92"/>
      <c r="G522" s="263">
        <v>9958247</v>
      </c>
      <c r="H522" s="263">
        <v>18764564</v>
      </c>
      <c r="I522" s="156" t="s">
        <v>772</v>
      </c>
      <c r="J522" s="263">
        <v>11</v>
      </c>
      <c r="K522" s="263">
        <v>21</v>
      </c>
      <c r="L522" s="96">
        <v>-80000</v>
      </c>
      <c r="M522" s="100">
        <v>44503</v>
      </c>
      <c r="N522" s="100">
        <v>44503</v>
      </c>
      <c r="O522" s="100">
        <v>44503</v>
      </c>
      <c r="P522" s="92" t="s">
        <v>2603</v>
      </c>
      <c r="Q522" s="92" t="s">
        <v>2593</v>
      </c>
      <c r="R522" s="92"/>
      <c r="S522" s="92">
        <v>0</v>
      </c>
      <c r="T522" s="92" t="s">
        <v>2604</v>
      </c>
      <c r="U522" s="92"/>
      <c r="V522" s="92"/>
      <c r="W522" s="92" t="s">
        <v>773</v>
      </c>
      <c r="X522" s="92"/>
      <c r="Y522" s="92" t="s">
        <v>606</v>
      </c>
      <c r="Z522" s="92" t="s">
        <v>770</v>
      </c>
      <c r="AA522" s="92" t="s">
        <v>2254</v>
      </c>
      <c r="AB522" s="92" t="s">
        <v>778</v>
      </c>
      <c r="AC522" s="92" t="s">
        <v>925</v>
      </c>
      <c r="AD522" s="92" t="s">
        <v>2251</v>
      </c>
      <c r="AE522" s="92"/>
      <c r="AF522" s="92"/>
    </row>
    <row r="523" spans="1:32" ht="12.75" customHeight="1">
      <c r="A523" s="92" t="s">
        <v>892</v>
      </c>
      <c r="B523" s="92" t="s">
        <v>50</v>
      </c>
      <c r="C523" s="92" t="s">
        <v>922</v>
      </c>
      <c r="D523" s="92"/>
      <c r="E523" s="92" t="s">
        <v>49</v>
      </c>
      <c r="F523" s="92"/>
      <c r="G523" s="263">
        <v>9958670</v>
      </c>
      <c r="H523" s="263">
        <v>18764633</v>
      </c>
      <c r="I523" s="156" t="s">
        <v>772</v>
      </c>
      <c r="J523" s="263">
        <v>11</v>
      </c>
      <c r="K523" s="263">
        <v>21</v>
      </c>
      <c r="L523" s="96">
        <v>-538800</v>
      </c>
      <c r="M523" s="100">
        <v>44504</v>
      </c>
      <c r="N523" s="100">
        <v>44504</v>
      </c>
      <c r="O523" s="100">
        <v>44504</v>
      </c>
      <c r="P523" s="92" t="s">
        <v>2605</v>
      </c>
      <c r="Q523" s="92" t="s">
        <v>2606</v>
      </c>
      <c r="R523" s="92"/>
      <c r="S523" s="92">
        <v>0</v>
      </c>
      <c r="T523" s="92" t="s">
        <v>2188</v>
      </c>
      <c r="U523" s="92"/>
      <c r="V523" s="92"/>
      <c r="W523" s="92" t="s">
        <v>773</v>
      </c>
      <c r="X523" s="92"/>
      <c r="Y523" s="92" t="s">
        <v>606</v>
      </c>
      <c r="Z523" s="92" t="s">
        <v>770</v>
      </c>
      <c r="AA523" s="92" t="s">
        <v>2254</v>
      </c>
      <c r="AB523" s="92" t="s">
        <v>778</v>
      </c>
      <c r="AC523" s="92" t="s">
        <v>925</v>
      </c>
      <c r="AD523" s="92" t="s">
        <v>2189</v>
      </c>
      <c r="AE523" s="92"/>
      <c r="AF523" s="92"/>
    </row>
    <row r="524" spans="1:32" ht="12.75" customHeight="1">
      <c r="A524" s="92" t="s">
        <v>892</v>
      </c>
      <c r="B524" s="92" t="s">
        <v>50</v>
      </c>
      <c r="C524" s="92" t="s">
        <v>922</v>
      </c>
      <c r="D524" s="92"/>
      <c r="E524" s="92" t="s">
        <v>49</v>
      </c>
      <c r="F524" s="92"/>
      <c r="G524" s="263">
        <v>9962386</v>
      </c>
      <c r="H524" s="263">
        <v>18799666</v>
      </c>
      <c r="I524" s="156" t="s">
        <v>772</v>
      </c>
      <c r="J524" s="263">
        <v>11</v>
      </c>
      <c r="K524" s="263">
        <v>21</v>
      </c>
      <c r="L524" s="96">
        <v>2500</v>
      </c>
      <c r="M524" s="100">
        <v>44512</v>
      </c>
      <c r="N524" s="100">
        <v>44512</v>
      </c>
      <c r="O524" s="100">
        <v>44511</v>
      </c>
      <c r="P524" s="92" t="s">
        <v>2607</v>
      </c>
      <c r="Q524" s="92" t="s">
        <v>2608</v>
      </c>
      <c r="R524" s="92"/>
      <c r="S524" s="92">
        <v>0</v>
      </c>
      <c r="T524" s="92" t="s">
        <v>2609</v>
      </c>
      <c r="U524" s="92"/>
      <c r="V524" s="92"/>
      <c r="W524" s="92" t="s">
        <v>773</v>
      </c>
      <c r="X524" s="92"/>
      <c r="Y524" s="92" t="s">
        <v>606</v>
      </c>
      <c r="Z524" s="92" t="s">
        <v>770</v>
      </c>
      <c r="AA524" s="92" t="s">
        <v>2254</v>
      </c>
      <c r="AB524" s="92" t="s">
        <v>778</v>
      </c>
      <c r="AC524" s="92" t="s">
        <v>925</v>
      </c>
      <c r="AD524" s="92" t="s">
        <v>1136</v>
      </c>
      <c r="AE524" s="92"/>
      <c r="AF524" s="92"/>
    </row>
    <row r="525" spans="1:32" ht="12.75" customHeight="1">
      <c r="A525" s="92" t="s">
        <v>892</v>
      </c>
      <c r="B525" s="92" t="s">
        <v>62</v>
      </c>
      <c r="C525" s="92" t="s">
        <v>922</v>
      </c>
      <c r="D525" s="92"/>
      <c r="E525" s="92" t="s">
        <v>49</v>
      </c>
      <c r="F525" s="92"/>
      <c r="G525" s="263">
        <v>9956760</v>
      </c>
      <c r="H525" s="263">
        <v>18764390</v>
      </c>
      <c r="I525" s="156" t="s">
        <v>772</v>
      </c>
      <c r="J525" s="263">
        <v>11</v>
      </c>
      <c r="K525" s="263">
        <v>21</v>
      </c>
      <c r="L525" s="96">
        <v>-2046640</v>
      </c>
      <c r="M525" s="100">
        <v>44501</v>
      </c>
      <c r="N525" s="100">
        <v>44501</v>
      </c>
      <c r="O525" s="100">
        <v>44501</v>
      </c>
      <c r="P525" s="92" t="s">
        <v>2403</v>
      </c>
      <c r="Q525" s="92" t="s">
        <v>2610</v>
      </c>
      <c r="R525" s="92"/>
      <c r="S525" s="92">
        <v>0</v>
      </c>
      <c r="T525" s="92" t="s">
        <v>2611</v>
      </c>
      <c r="U525" s="92"/>
      <c r="V525" s="92"/>
      <c r="W525" s="92"/>
      <c r="X525" s="92"/>
      <c r="Y525" s="92" t="s">
        <v>606</v>
      </c>
      <c r="Z525" s="92" t="s">
        <v>770</v>
      </c>
      <c r="AA525" s="92" t="s">
        <v>2612</v>
      </c>
      <c r="AB525" s="92" t="s">
        <v>778</v>
      </c>
      <c r="AC525" s="92" t="s">
        <v>914</v>
      </c>
      <c r="AD525" s="92" t="s">
        <v>2406</v>
      </c>
      <c r="AE525" s="92"/>
      <c r="AF525" s="92"/>
    </row>
    <row r="526" spans="1:32" ht="12.75" customHeight="1">
      <c r="A526" s="92" t="s">
        <v>892</v>
      </c>
      <c r="B526" s="92" t="s">
        <v>62</v>
      </c>
      <c r="C526" s="92" t="s">
        <v>922</v>
      </c>
      <c r="D526" s="92"/>
      <c r="E526" s="92" t="s">
        <v>49</v>
      </c>
      <c r="F526" s="92"/>
      <c r="G526" s="263">
        <v>9962532</v>
      </c>
      <c r="H526" s="263">
        <v>18802213</v>
      </c>
      <c r="I526" s="156" t="s">
        <v>772</v>
      </c>
      <c r="J526" s="263">
        <v>11</v>
      </c>
      <c r="K526" s="263">
        <v>21</v>
      </c>
      <c r="L526" s="96">
        <v>-202540</v>
      </c>
      <c r="M526" s="100">
        <v>44501</v>
      </c>
      <c r="N526" s="100">
        <v>44501</v>
      </c>
      <c r="O526" s="100">
        <v>44512</v>
      </c>
      <c r="P526" s="92" t="s">
        <v>2613</v>
      </c>
      <c r="Q526" s="92" t="s">
        <v>2614</v>
      </c>
      <c r="R526" s="92"/>
      <c r="S526" s="92">
        <v>0</v>
      </c>
      <c r="T526" s="92" t="s">
        <v>2615</v>
      </c>
      <c r="U526" s="92"/>
      <c r="V526" s="92"/>
      <c r="W526" s="92" t="s">
        <v>773</v>
      </c>
      <c r="X526" s="92"/>
      <c r="Y526" s="92" t="s">
        <v>606</v>
      </c>
      <c r="Z526" s="92" t="s">
        <v>770</v>
      </c>
      <c r="AA526" s="92" t="s">
        <v>1806</v>
      </c>
      <c r="AB526" s="92" t="s">
        <v>778</v>
      </c>
      <c r="AC526" s="92" t="s">
        <v>914</v>
      </c>
      <c r="AD526" s="92" t="s">
        <v>2504</v>
      </c>
      <c r="AE526" s="92"/>
      <c r="AF526" s="92"/>
    </row>
    <row r="527" spans="1:32" ht="12.75" customHeight="1">
      <c r="A527" s="92" t="s">
        <v>892</v>
      </c>
      <c r="B527" s="92" t="s">
        <v>62</v>
      </c>
      <c r="C527" s="92" t="s">
        <v>922</v>
      </c>
      <c r="D527" s="92"/>
      <c r="E527" s="92" t="s">
        <v>49</v>
      </c>
      <c r="F527" s="92"/>
      <c r="G527" s="263">
        <v>9962532</v>
      </c>
      <c r="H527" s="263">
        <v>18802213</v>
      </c>
      <c r="I527" s="156" t="s">
        <v>772</v>
      </c>
      <c r="J527" s="263">
        <v>11</v>
      </c>
      <c r="K527" s="263">
        <v>21</v>
      </c>
      <c r="L527" s="96">
        <v>-1538925</v>
      </c>
      <c r="M527" s="100">
        <v>44501</v>
      </c>
      <c r="N527" s="100">
        <v>44501</v>
      </c>
      <c r="O527" s="100">
        <v>44512</v>
      </c>
      <c r="P527" s="92" t="s">
        <v>2616</v>
      </c>
      <c r="Q527" s="92" t="s">
        <v>2614</v>
      </c>
      <c r="R527" s="92"/>
      <c r="S527" s="92">
        <v>0</v>
      </c>
      <c r="T527" s="92" t="s">
        <v>2617</v>
      </c>
      <c r="U527" s="92"/>
      <c r="V527" s="92"/>
      <c r="W527" s="92" t="s">
        <v>773</v>
      </c>
      <c r="X527" s="92"/>
      <c r="Y527" s="92" t="s">
        <v>606</v>
      </c>
      <c r="Z527" s="92" t="s">
        <v>770</v>
      </c>
      <c r="AA527" s="92" t="s">
        <v>1806</v>
      </c>
      <c r="AB527" s="92" t="s">
        <v>778</v>
      </c>
      <c r="AC527" s="92" t="s">
        <v>914</v>
      </c>
      <c r="AD527" s="92" t="s">
        <v>2505</v>
      </c>
      <c r="AE527" s="92"/>
      <c r="AF527" s="92"/>
    </row>
    <row r="528" spans="1:32" ht="12.75" customHeight="1">
      <c r="A528" s="92" t="s">
        <v>892</v>
      </c>
      <c r="B528" s="92" t="s">
        <v>62</v>
      </c>
      <c r="C528" s="92" t="s">
        <v>922</v>
      </c>
      <c r="D528" s="92"/>
      <c r="E528" s="92" t="s">
        <v>768</v>
      </c>
      <c r="F528" s="92"/>
      <c r="G528" s="263">
        <v>9956517</v>
      </c>
      <c r="H528" s="263">
        <v>1412595</v>
      </c>
      <c r="I528" s="156" t="s">
        <v>769</v>
      </c>
      <c r="J528" s="263">
        <v>11</v>
      </c>
      <c r="K528" s="263">
        <v>21</v>
      </c>
      <c r="L528" s="96">
        <v>25000</v>
      </c>
      <c r="M528" s="100">
        <v>44480</v>
      </c>
      <c r="N528" s="100">
        <v>44501</v>
      </c>
      <c r="O528" s="100">
        <v>44501</v>
      </c>
      <c r="P528" s="92" t="s">
        <v>2618</v>
      </c>
      <c r="Q528" s="92" t="s">
        <v>639</v>
      </c>
      <c r="R528" s="92" t="s">
        <v>2619</v>
      </c>
      <c r="S528" s="92" t="s">
        <v>2620</v>
      </c>
      <c r="T528" s="92" t="s">
        <v>1839</v>
      </c>
      <c r="U528" s="92"/>
      <c r="V528" s="92"/>
      <c r="W528" s="92"/>
      <c r="X528" s="92"/>
      <c r="Y528" s="92" t="s">
        <v>606</v>
      </c>
      <c r="Z528" s="92" t="s">
        <v>770</v>
      </c>
      <c r="AA528" s="92" t="s">
        <v>1236</v>
      </c>
      <c r="AB528" s="92" t="s">
        <v>778</v>
      </c>
      <c r="AC528" s="92" t="s">
        <v>914</v>
      </c>
      <c r="AD528" s="92" t="s">
        <v>1840</v>
      </c>
      <c r="AE528" s="92"/>
      <c r="AF528" s="92"/>
    </row>
    <row r="529" spans="1:32" ht="12.75" customHeight="1">
      <c r="A529" s="92" t="s">
        <v>892</v>
      </c>
      <c r="B529" s="92" t="s">
        <v>66</v>
      </c>
      <c r="C529" s="92" t="s">
        <v>922</v>
      </c>
      <c r="D529" s="92"/>
      <c r="E529" s="92" t="s">
        <v>49</v>
      </c>
      <c r="F529" s="92"/>
      <c r="G529" s="263">
        <v>9956482</v>
      </c>
      <c r="H529" s="263">
        <v>18764147</v>
      </c>
      <c r="I529" s="156" t="s">
        <v>772</v>
      </c>
      <c r="J529" s="263">
        <v>11</v>
      </c>
      <c r="K529" s="263">
        <v>21</v>
      </c>
      <c r="L529" s="96">
        <v>-350000</v>
      </c>
      <c r="M529" s="100">
        <v>44530</v>
      </c>
      <c r="N529" s="100">
        <v>44530</v>
      </c>
      <c r="O529" s="100">
        <v>44501</v>
      </c>
      <c r="P529" s="92" t="s">
        <v>2621</v>
      </c>
      <c r="Q529" s="92" t="s">
        <v>2622</v>
      </c>
      <c r="R529" s="92"/>
      <c r="S529" s="92">
        <v>0</v>
      </c>
      <c r="T529" s="92" t="s">
        <v>2623</v>
      </c>
      <c r="U529" s="92"/>
      <c r="V529" s="92"/>
      <c r="W529" s="92" t="s">
        <v>1251</v>
      </c>
      <c r="X529" s="92"/>
      <c r="Y529" s="92" t="s">
        <v>606</v>
      </c>
      <c r="Z529" s="92" t="s">
        <v>770</v>
      </c>
      <c r="AA529" s="92" t="s">
        <v>2409</v>
      </c>
      <c r="AB529" s="92" t="s">
        <v>778</v>
      </c>
      <c r="AC529" s="92" t="s">
        <v>783</v>
      </c>
      <c r="AD529" s="92" t="s">
        <v>2506</v>
      </c>
      <c r="AE529" s="92"/>
      <c r="AF529" s="92"/>
    </row>
    <row r="530" spans="1:32" ht="12.75" customHeight="1">
      <c r="A530" s="92" t="s">
        <v>892</v>
      </c>
      <c r="B530" s="92" t="s">
        <v>66</v>
      </c>
      <c r="C530" s="92" t="s">
        <v>922</v>
      </c>
      <c r="D530" s="92"/>
      <c r="E530" s="92" t="s">
        <v>49</v>
      </c>
      <c r="F530" s="92"/>
      <c r="G530" s="263">
        <v>9956510</v>
      </c>
      <c r="H530" s="263">
        <v>18764160</v>
      </c>
      <c r="I530" s="156" t="s">
        <v>772</v>
      </c>
      <c r="J530" s="263">
        <v>11</v>
      </c>
      <c r="K530" s="263">
        <v>21</v>
      </c>
      <c r="L530" s="96">
        <v>-165000</v>
      </c>
      <c r="M530" s="100">
        <v>44530</v>
      </c>
      <c r="N530" s="100">
        <v>44530</v>
      </c>
      <c r="O530" s="100">
        <v>44501</v>
      </c>
      <c r="P530" s="92" t="s">
        <v>2624</v>
      </c>
      <c r="Q530" s="92" t="s">
        <v>2625</v>
      </c>
      <c r="R530" s="92"/>
      <c r="S530" s="92">
        <v>0</v>
      </c>
      <c r="T530" s="92" t="s">
        <v>2626</v>
      </c>
      <c r="U530" s="92"/>
      <c r="V530" s="92"/>
      <c r="W530" s="92" t="s">
        <v>1251</v>
      </c>
      <c r="X530" s="92"/>
      <c r="Y530" s="92" t="s">
        <v>606</v>
      </c>
      <c r="Z530" s="92" t="s">
        <v>770</v>
      </c>
      <c r="AA530" s="92" t="s">
        <v>2409</v>
      </c>
      <c r="AB530" s="92" t="s">
        <v>778</v>
      </c>
      <c r="AC530" s="92" t="s">
        <v>783</v>
      </c>
      <c r="AD530" s="92" t="s">
        <v>2507</v>
      </c>
      <c r="AE530" s="92"/>
      <c r="AF530" s="92"/>
    </row>
    <row r="531" spans="1:32" ht="12.75" customHeight="1">
      <c r="A531" s="92" t="s">
        <v>892</v>
      </c>
      <c r="B531" s="92" t="s">
        <v>66</v>
      </c>
      <c r="C531" s="92" t="s">
        <v>922</v>
      </c>
      <c r="D531" s="92"/>
      <c r="E531" s="92" t="s">
        <v>49</v>
      </c>
      <c r="F531" s="92"/>
      <c r="G531" s="263">
        <v>9956557</v>
      </c>
      <c r="H531" s="263">
        <v>18764176</v>
      </c>
      <c r="I531" s="156" t="s">
        <v>772</v>
      </c>
      <c r="J531" s="263">
        <v>11</v>
      </c>
      <c r="K531" s="263">
        <v>21</v>
      </c>
      <c r="L531" s="96">
        <v>-30000</v>
      </c>
      <c r="M531" s="100">
        <v>44530</v>
      </c>
      <c r="N531" s="100">
        <v>44530</v>
      </c>
      <c r="O531" s="100">
        <v>44501</v>
      </c>
      <c r="P531" s="92" t="s">
        <v>2627</v>
      </c>
      <c r="Q531" s="92" t="s">
        <v>2628</v>
      </c>
      <c r="R531" s="92"/>
      <c r="S531" s="92">
        <v>0</v>
      </c>
      <c r="T531" s="92" t="s">
        <v>2629</v>
      </c>
      <c r="U531" s="92"/>
      <c r="V531" s="92"/>
      <c r="W531" s="92" t="s">
        <v>1251</v>
      </c>
      <c r="X531" s="92"/>
      <c r="Y531" s="92" t="s">
        <v>606</v>
      </c>
      <c r="Z531" s="92" t="s">
        <v>770</v>
      </c>
      <c r="AA531" s="92" t="s">
        <v>2409</v>
      </c>
      <c r="AB531" s="92" t="s">
        <v>778</v>
      </c>
      <c r="AC531" s="92" t="s">
        <v>783</v>
      </c>
      <c r="AD531" s="92" t="s">
        <v>2508</v>
      </c>
      <c r="AE531" s="92"/>
      <c r="AF531" s="92"/>
    </row>
    <row r="532" spans="1:32" ht="12.75" customHeight="1">
      <c r="A532" s="92" t="s">
        <v>892</v>
      </c>
      <c r="B532" s="92" t="s">
        <v>66</v>
      </c>
      <c r="C532" s="92" t="s">
        <v>922</v>
      </c>
      <c r="D532" s="92"/>
      <c r="E532" s="92" t="s">
        <v>49</v>
      </c>
      <c r="F532" s="92"/>
      <c r="G532" s="263">
        <v>9962462</v>
      </c>
      <c r="H532" s="263">
        <v>18799721</v>
      </c>
      <c r="I532" s="156" t="s">
        <v>772</v>
      </c>
      <c r="J532" s="263">
        <v>11</v>
      </c>
      <c r="K532" s="263">
        <v>21</v>
      </c>
      <c r="L532" s="96">
        <v>-15000</v>
      </c>
      <c r="M532" s="100">
        <v>44530</v>
      </c>
      <c r="N532" s="100">
        <v>44530</v>
      </c>
      <c r="O532" s="100">
        <v>44512</v>
      </c>
      <c r="P532" s="92" t="s">
        <v>2630</v>
      </c>
      <c r="Q532" s="92" t="s">
        <v>2631</v>
      </c>
      <c r="R532" s="92"/>
      <c r="S532" s="92">
        <v>0</v>
      </c>
      <c r="T532" s="92" t="s">
        <v>2632</v>
      </c>
      <c r="U532" s="92"/>
      <c r="V532" s="92"/>
      <c r="W532" s="92" t="s">
        <v>1251</v>
      </c>
      <c r="X532" s="92"/>
      <c r="Y532" s="92" t="s">
        <v>606</v>
      </c>
      <c r="Z532" s="92" t="s">
        <v>770</v>
      </c>
      <c r="AA532" s="92" t="s">
        <v>2409</v>
      </c>
      <c r="AB532" s="92" t="s">
        <v>778</v>
      </c>
      <c r="AC532" s="92" t="s">
        <v>783</v>
      </c>
      <c r="AD532" s="92" t="s">
        <v>2509</v>
      </c>
      <c r="AE532" s="92"/>
      <c r="AF532" s="92"/>
    </row>
    <row r="533" spans="1:32" ht="12.75" customHeight="1">
      <c r="A533" s="92" t="s">
        <v>892</v>
      </c>
      <c r="B533" s="92" t="s">
        <v>727</v>
      </c>
      <c r="C533" s="92" t="s">
        <v>922</v>
      </c>
      <c r="D533" s="92"/>
      <c r="E533" s="92" t="s">
        <v>49</v>
      </c>
      <c r="F533" s="92"/>
      <c r="G533" s="263">
        <v>9956760</v>
      </c>
      <c r="H533" s="263">
        <v>18764390</v>
      </c>
      <c r="I533" s="156" t="s">
        <v>772</v>
      </c>
      <c r="J533" s="263">
        <v>11</v>
      </c>
      <c r="K533" s="263">
        <v>21</v>
      </c>
      <c r="L533" s="96">
        <v>-80000</v>
      </c>
      <c r="M533" s="100">
        <v>44501</v>
      </c>
      <c r="N533" s="100">
        <v>44501</v>
      </c>
      <c r="O533" s="100">
        <v>44501</v>
      </c>
      <c r="P533" s="92" t="s">
        <v>2290</v>
      </c>
      <c r="Q533" s="92" t="s">
        <v>2610</v>
      </c>
      <c r="R533" s="92"/>
      <c r="S533" s="92">
        <v>0</v>
      </c>
      <c r="T533" s="92" t="s">
        <v>2633</v>
      </c>
      <c r="U533" s="92"/>
      <c r="V533" s="92"/>
      <c r="W533" s="92"/>
      <c r="X533" s="92"/>
      <c r="Y533" s="92" t="s">
        <v>606</v>
      </c>
      <c r="Z533" s="92" t="s">
        <v>770</v>
      </c>
      <c r="AA533" s="92" t="s">
        <v>2612</v>
      </c>
      <c r="AB533" s="92" t="s">
        <v>778</v>
      </c>
      <c r="AC533" s="92" t="s">
        <v>928</v>
      </c>
      <c r="AD533" s="92" t="s">
        <v>2292</v>
      </c>
      <c r="AE533" s="92"/>
      <c r="AF533" s="92"/>
    </row>
    <row r="534" spans="1:32" ht="12.75" customHeight="1">
      <c r="A534" s="92" t="s">
        <v>892</v>
      </c>
      <c r="B534" s="92" t="s">
        <v>727</v>
      </c>
      <c r="C534" s="92" t="s">
        <v>922</v>
      </c>
      <c r="D534" s="92"/>
      <c r="E534" s="92" t="s">
        <v>775</v>
      </c>
      <c r="F534" s="92"/>
      <c r="G534" s="263">
        <v>9959772</v>
      </c>
      <c r="H534" s="263">
        <v>3896197</v>
      </c>
      <c r="I534" s="156" t="s">
        <v>776</v>
      </c>
      <c r="J534" s="263">
        <v>11</v>
      </c>
      <c r="K534" s="263">
        <v>21</v>
      </c>
      <c r="L534" s="96">
        <v>60000</v>
      </c>
      <c r="M534" s="100">
        <v>44530</v>
      </c>
      <c r="N534" s="100">
        <v>44506</v>
      </c>
      <c r="O534" s="100">
        <v>44506</v>
      </c>
      <c r="P534" s="92" t="s">
        <v>2634</v>
      </c>
      <c r="Q534" s="92" t="s">
        <v>1139</v>
      </c>
      <c r="R534" s="92"/>
      <c r="S534" s="92" t="s">
        <v>2635</v>
      </c>
      <c r="T534" s="92" t="s">
        <v>1967</v>
      </c>
      <c r="U534" s="92"/>
      <c r="V534" s="92"/>
      <c r="W534" s="92"/>
      <c r="X534" s="92"/>
      <c r="Y534" s="92" t="s">
        <v>606</v>
      </c>
      <c r="Z534" s="92" t="s">
        <v>770</v>
      </c>
      <c r="AA534" s="92" t="s">
        <v>778</v>
      </c>
      <c r="AB534" s="92" t="s">
        <v>778</v>
      </c>
      <c r="AC534" s="92" t="s">
        <v>928</v>
      </c>
      <c r="AD534" s="92"/>
      <c r="AE534" s="92"/>
      <c r="AF534" s="92"/>
    </row>
    <row r="535" spans="1:32" ht="12.75" customHeight="1">
      <c r="A535" s="92" t="s">
        <v>892</v>
      </c>
      <c r="B535" s="92" t="s">
        <v>1194</v>
      </c>
      <c r="C535" s="92" t="s">
        <v>922</v>
      </c>
      <c r="D535" s="92"/>
      <c r="E535" s="92" t="s">
        <v>49</v>
      </c>
      <c r="F535" s="92"/>
      <c r="G535" s="263">
        <v>9962578</v>
      </c>
      <c r="H535" s="263">
        <v>18802220</v>
      </c>
      <c r="I535" s="156" t="s">
        <v>772</v>
      </c>
      <c r="J535" s="263">
        <v>11</v>
      </c>
      <c r="K535" s="263">
        <v>21</v>
      </c>
      <c r="L535" s="96">
        <v>1760000</v>
      </c>
      <c r="M535" s="100">
        <v>44530</v>
      </c>
      <c r="N535" s="100">
        <v>44530</v>
      </c>
      <c r="O535" s="100">
        <v>44512</v>
      </c>
      <c r="P535" s="92" t="s">
        <v>1237</v>
      </c>
      <c r="Q535" s="92" t="s">
        <v>2636</v>
      </c>
      <c r="R535" s="92"/>
      <c r="S535" s="92">
        <v>0</v>
      </c>
      <c r="T535" s="92" t="s">
        <v>2637</v>
      </c>
      <c r="U535" s="92"/>
      <c r="V535" s="92"/>
      <c r="W535" s="92" t="s">
        <v>1251</v>
      </c>
      <c r="X535" s="92"/>
      <c r="Y535" s="92" t="s">
        <v>606</v>
      </c>
      <c r="Z535" s="92" t="s">
        <v>770</v>
      </c>
      <c r="AA535" s="92" t="s">
        <v>1822</v>
      </c>
      <c r="AB535" s="92" t="s">
        <v>778</v>
      </c>
      <c r="AC535" s="92" t="s">
        <v>1196</v>
      </c>
      <c r="AD535" s="92" t="s">
        <v>1197</v>
      </c>
      <c r="AE535" s="92"/>
      <c r="AF535" s="92"/>
    </row>
    <row r="536" spans="1:32" ht="12.75" customHeight="1">
      <c r="A536" s="92" t="s">
        <v>892</v>
      </c>
      <c r="B536" s="92" t="s">
        <v>1194</v>
      </c>
      <c r="C536" s="92" t="s">
        <v>922</v>
      </c>
      <c r="D536" s="92"/>
      <c r="E536" s="92" t="s">
        <v>49</v>
      </c>
      <c r="F536" s="92"/>
      <c r="G536" s="263">
        <v>9962578</v>
      </c>
      <c r="H536" s="263">
        <v>18802220</v>
      </c>
      <c r="I536" s="156" t="s">
        <v>772</v>
      </c>
      <c r="J536" s="263">
        <v>11</v>
      </c>
      <c r="K536" s="263">
        <v>21</v>
      </c>
      <c r="L536" s="96">
        <v>-459279.73</v>
      </c>
      <c r="M536" s="100">
        <v>44530</v>
      </c>
      <c r="N536" s="100">
        <v>44530</v>
      </c>
      <c r="O536" s="100">
        <v>44512</v>
      </c>
      <c r="P536" s="92" t="s">
        <v>1195</v>
      </c>
      <c r="Q536" s="92" t="s">
        <v>2636</v>
      </c>
      <c r="R536" s="92"/>
      <c r="S536" s="92">
        <v>0</v>
      </c>
      <c r="T536" s="92" t="s">
        <v>2637</v>
      </c>
      <c r="U536" s="92"/>
      <c r="V536" s="92"/>
      <c r="W536" s="92" t="s">
        <v>1251</v>
      </c>
      <c r="X536" s="92"/>
      <c r="Y536" s="92" t="s">
        <v>606</v>
      </c>
      <c r="Z536" s="92" t="s">
        <v>770</v>
      </c>
      <c r="AA536" s="92" t="s">
        <v>1822</v>
      </c>
      <c r="AB536" s="92" t="s">
        <v>778</v>
      </c>
      <c r="AC536" s="92" t="s">
        <v>1196</v>
      </c>
      <c r="AD536" s="92" t="s">
        <v>1197</v>
      </c>
      <c r="AE536" s="92"/>
      <c r="AF536" s="92"/>
    </row>
    <row r="537" spans="1:32" ht="12.75" customHeight="1">
      <c r="A537" s="92" t="s">
        <v>892</v>
      </c>
      <c r="B537" s="92" t="s">
        <v>1194</v>
      </c>
      <c r="C537" s="92" t="s">
        <v>922</v>
      </c>
      <c r="D537" s="92"/>
      <c r="E537" s="92" t="s">
        <v>49</v>
      </c>
      <c r="F537" s="92"/>
      <c r="G537" s="263">
        <v>9962578</v>
      </c>
      <c r="H537" s="263">
        <v>18802220</v>
      </c>
      <c r="I537" s="156" t="s">
        <v>772</v>
      </c>
      <c r="J537" s="263">
        <v>11</v>
      </c>
      <c r="K537" s="263">
        <v>21</v>
      </c>
      <c r="L537" s="96">
        <v>-569024.72</v>
      </c>
      <c r="M537" s="100">
        <v>44530</v>
      </c>
      <c r="N537" s="100">
        <v>44530</v>
      </c>
      <c r="O537" s="100">
        <v>44512</v>
      </c>
      <c r="P537" s="92" t="s">
        <v>1195</v>
      </c>
      <c r="Q537" s="92" t="s">
        <v>2636</v>
      </c>
      <c r="R537" s="92"/>
      <c r="S537" s="92">
        <v>0</v>
      </c>
      <c r="T537" s="92" t="s">
        <v>2637</v>
      </c>
      <c r="U537" s="92"/>
      <c r="V537" s="92"/>
      <c r="W537" s="92" t="s">
        <v>1251</v>
      </c>
      <c r="X537" s="92"/>
      <c r="Y537" s="92" t="s">
        <v>606</v>
      </c>
      <c r="Z537" s="92" t="s">
        <v>770</v>
      </c>
      <c r="AA537" s="92" t="s">
        <v>1822</v>
      </c>
      <c r="AB537" s="92" t="s">
        <v>778</v>
      </c>
      <c r="AC537" s="92" t="s">
        <v>1196</v>
      </c>
      <c r="AD537" s="92" t="s">
        <v>1197</v>
      </c>
      <c r="AE537" s="92"/>
      <c r="AF537" s="92"/>
    </row>
    <row r="538" spans="1:32" ht="12.75" customHeight="1">
      <c r="A538" s="92" t="s">
        <v>620</v>
      </c>
      <c r="B538" s="92" t="s">
        <v>68</v>
      </c>
      <c r="C538" s="92" t="s">
        <v>922</v>
      </c>
      <c r="D538" s="92"/>
      <c r="E538" s="92" t="s">
        <v>49</v>
      </c>
      <c r="F538" s="92"/>
      <c r="G538" s="263">
        <v>9963203</v>
      </c>
      <c r="H538" s="263">
        <v>18802383</v>
      </c>
      <c r="I538" s="156" t="s">
        <v>772</v>
      </c>
      <c r="J538" s="263">
        <v>11</v>
      </c>
      <c r="K538" s="263">
        <v>21</v>
      </c>
      <c r="L538" s="96">
        <v>150000</v>
      </c>
      <c r="M538" s="100">
        <v>44530</v>
      </c>
      <c r="N538" s="100">
        <v>44530</v>
      </c>
      <c r="O538" s="100">
        <v>44512</v>
      </c>
      <c r="P538" s="92" t="s">
        <v>2638</v>
      </c>
      <c r="Q538" s="92" t="s">
        <v>2639</v>
      </c>
      <c r="R538" s="92"/>
      <c r="S538" s="92">
        <v>0</v>
      </c>
      <c r="T538" s="92" t="s">
        <v>2640</v>
      </c>
      <c r="U538" s="92"/>
      <c r="V538" s="92"/>
      <c r="W538" s="92"/>
      <c r="X538" s="92"/>
      <c r="Y538" s="92" t="s">
        <v>606</v>
      </c>
      <c r="Z538" s="92" t="s">
        <v>770</v>
      </c>
      <c r="AA538" s="92" t="s">
        <v>1346</v>
      </c>
      <c r="AB538" s="92" t="s">
        <v>1281</v>
      </c>
      <c r="AC538" s="92" t="s">
        <v>784</v>
      </c>
      <c r="AD538" s="92" t="s">
        <v>1069</v>
      </c>
      <c r="AE538" s="92"/>
      <c r="AF538" s="92"/>
    </row>
    <row r="539" spans="1:32" ht="12.75" customHeight="1">
      <c r="A539" s="92" t="s">
        <v>620</v>
      </c>
      <c r="B539" s="92" t="s">
        <v>60</v>
      </c>
      <c r="C539" s="92" t="s">
        <v>922</v>
      </c>
      <c r="D539" s="92"/>
      <c r="E539" s="92" t="s">
        <v>768</v>
      </c>
      <c r="F539" s="92"/>
      <c r="G539" s="263">
        <v>9956516</v>
      </c>
      <c r="H539" s="263">
        <v>1412594</v>
      </c>
      <c r="I539" s="156" t="s">
        <v>769</v>
      </c>
      <c r="J539" s="263">
        <v>11</v>
      </c>
      <c r="K539" s="263">
        <v>21</v>
      </c>
      <c r="L539" s="96">
        <v>50000</v>
      </c>
      <c r="M539" s="100">
        <v>44442</v>
      </c>
      <c r="N539" s="100">
        <v>44501</v>
      </c>
      <c r="O539" s="100">
        <v>44501</v>
      </c>
      <c r="P539" s="92" t="s">
        <v>2641</v>
      </c>
      <c r="Q539" s="92" t="s">
        <v>2501</v>
      </c>
      <c r="R539" s="92" t="s">
        <v>2642</v>
      </c>
      <c r="S539" s="92" t="s">
        <v>2643</v>
      </c>
      <c r="T539" s="92" t="s">
        <v>2644</v>
      </c>
      <c r="U539" s="92"/>
      <c r="V539" s="92"/>
      <c r="W539" s="92"/>
      <c r="X539" s="92"/>
      <c r="Y539" s="92" t="s">
        <v>606</v>
      </c>
      <c r="Z539" s="92" t="s">
        <v>770</v>
      </c>
      <c r="AA539" s="92" t="s">
        <v>1236</v>
      </c>
      <c r="AB539" s="92" t="s">
        <v>778</v>
      </c>
      <c r="AC539" s="92" t="s">
        <v>913</v>
      </c>
      <c r="AD539" s="92" t="s">
        <v>2498</v>
      </c>
      <c r="AE539" s="92"/>
      <c r="AF539" s="92"/>
    </row>
    <row r="540" spans="1:32" ht="12.75" customHeight="1">
      <c r="A540" s="92" t="s">
        <v>620</v>
      </c>
      <c r="B540" s="92" t="s">
        <v>60</v>
      </c>
      <c r="C540" s="92" t="s">
        <v>922</v>
      </c>
      <c r="D540" s="92"/>
      <c r="E540" s="92" t="s">
        <v>49</v>
      </c>
      <c r="F540" s="92"/>
      <c r="G540" s="263">
        <v>9963187</v>
      </c>
      <c r="H540" s="263">
        <v>18802371</v>
      </c>
      <c r="I540" s="156" t="s">
        <v>772</v>
      </c>
      <c r="J540" s="263">
        <v>11</v>
      </c>
      <c r="K540" s="263">
        <v>21</v>
      </c>
      <c r="L540" s="96">
        <v>-50000</v>
      </c>
      <c r="M540" s="100">
        <v>44530</v>
      </c>
      <c r="N540" s="100">
        <v>44530</v>
      </c>
      <c r="O540" s="100">
        <v>44512</v>
      </c>
      <c r="P540" s="92" t="s">
        <v>2645</v>
      </c>
      <c r="Q540" s="92" t="s">
        <v>2646</v>
      </c>
      <c r="R540" s="92"/>
      <c r="S540" s="92">
        <v>0</v>
      </c>
      <c r="T540" s="92" t="s">
        <v>2647</v>
      </c>
      <c r="U540" s="92"/>
      <c r="V540" s="92"/>
      <c r="W540" s="92"/>
      <c r="X540" s="92"/>
      <c r="Y540" s="92" t="s">
        <v>606</v>
      </c>
      <c r="Z540" s="92" t="s">
        <v>770</v>
      </c>
      <c r="AA540" s="92" t="s">
        <v>1346</v>
      </c>
      <c r="AB540" s="92" t="s">
        <v>1281</v>
      </c>
      <c r="AC540" s="92" t="s">
        <v>913</v>
      </c>
      <c r="AD540" s="92" t="s">
        <v>2499</v>
      </c>
      <c r="AE540" s="92"/>
      <c r="AF540" s="92"/>
    </row>
    <row r="541" spans="1:32" ht="12.75" customHeight="1">
      <c r="A541" s="98" t="s">
        <v>620</v>
      </c>
      <c r="B541" s="98" t="s">
        <v>60</v>
      </c>
      <c r="C541" s="98" t="s">
        <v>922</v>
      </c>
      <c r="D541" s="98"/>
      <c r="E541" s="98" t="s">
        <v>49</v>
      </c>
      <c r="F541" s="98"/>
      <c r="G541" s="263">
        <v>9963187</v>
      </c>
      <c r="H541" s="263">
        <v>18802371</v>
      </c>
      <c r="I541" s="156" t="s">
        <v>772</v>
      </c>
      <c r="J541" s="263">
        <v>11</v>
      </c>
      <c r="K541" s="263">
        <v>21</v>
      </c>
      <c r="L541" s="187">
        <v>-86130</v>
      </c>
      <c r="M541" s="101">
        <v>44530</v>
      </c>
      <c r="N541" s="101">
        <v>44530</v>
      </c>
      <c r="O541" s="101">
        <v>44512</v>
      </c>
      <c r="P541" s="98" t="s">
        <v>2648</v>
      </c>
      <c r="Q541" s="98" t="s">
        <v>2646</v>
      </c>
      <c r="R541" s="98"/>
      <c r="S541" s="98">
        <v>0</v>
      </c>
      <c r="T541" s="98" t="s">
        <v>2649</v>
      </c>
      <c r="U541" s="98"/>
      <c r="V541" s="98"/>
      <c r="W541" s="98"/>
      <c r="X541" s="98"/>
      <c r="Y541" s="98" t="s">
        <v>606</v>
      </c>
      <c r="Z541" s="98" t="s">
        <v>770</v>
      </c>
      <c r="AA541" s="98" t="s">
        <v>1346</v>
      </c>
      <c r="AB541" s="98" t="s">
        <v>1281</v>
      </c>
      <c r="AC541" s="98" t="s">
        <v>913</v>
      </c>
      <c r="AD541" s="98" t="s">
        <v>2500</v>
      </c>
      <c r="AE541" s="98"/>
      <c r="AF541" s="98"/>
    </row>
    <row r="542" spans="1:32" ht="12.75" customHeight="1">
      <c r="A542" s="102" t="s">
        <v>602</v>
      </c>
      <c r="B542" s="102"/>
      <c r="C542" s="102"/>
      <c r="D542" s="102"/>
      <c r="E542" s="102"/>
      <c r="F542" s="102"/>
      <c r="G542" s="160"/>
      <c r="H542" s="160"/>
      <c r="I542" s="160"/>
      <c r="J542" s="160"/>
      <c r="K542" s="160"/>
      <c r="L542" s="186">
        <v>-3725366.04</v>
      </c>
      <c r="M542" s="102"/>
      <c r="N542" s="102"/>
      <c r="O542" s="102"/>
      <c r="P542" s="102"/>
      <c r="Q542" s="102"/>
      <c r="R542" s="102"/>
      <c r="S542" s="102"/>
      <c r="T542" s="102"/>
      <c r="U542" s="102"/>
      <c r="V542" s="102"/>
      <c r="W542" s="102"/>
      <c r="X542" s="102"/>
      <c r="Y542" s="102"/>
      <c r="Z542" s="102"/>
      <c r="AA542" s="102"/>
      <c r="AB542" s="102"/>
      <c r="AC542" s="102"/>
      <c r="AD542" s="102"/>
      <c r="AE542" s="102"/>
      <c r="AF542" s="102"/>
    </row>
    <row r="544" spans="1:32" ht="31.5">
      <c r="A544" s="91" t="s">
        <v>746</v>
      </c>
      <c r="B544" s="91" t="s">
        <v>604</v>
      </c>
      <c r="C544" s="91" t="s">
        <v>747</v>
      </c>
      <c r="D544" s="91" t="s">
        <v>608</v>
      </c>
      <c r="E544" s="91" t="s">
        <v>749</v>
      </c>
      <c r="F544" s="91" t="s">
        <v>921</v>
      </c>
      <c r="G544" s="159" t="s">
        <v>748</v>
      </c>
      <c r="H544" s="159" t="s">
        <v>750</v>
      </c>
      <c r="I544" s="159" t="s">
        <v>751</v>
      </c>
      <c r="J544" s="159" t="s">
        <v>752</v>
      </c>
      <c r="K544" s="159" t="s">
        <v>753</v>
      </c>
      <c r="L544" s="91" t="s">
        <v>754</v>
      </c>
      <c r="M544" s="91" t="s">
        <v>918</v>
      </c>
      <c r="N544" s="91" t="s">
        <v>2</v>
      </c>
      <c r="O544" s="91" t="s">
        <v>755</v>
      </c>
      <c r="P544" s="91" t="s">
        <v>605</v>
      </c>
      <c r="Q544" s="91" t="s">
        <v>756</v>
      </c>
      <c r="R544" s="91" t="s">
        <v>946</v>
      </c>
      <c r="S544" s="91" t="s">
        <v>761</v>
      </c>
      <c r="T544" s="91" t="s">
        <v>760</v>
      </c>
      <c r="U544" s="91" t="s">
        <v>1361</v>
      </c>
      <c r="V544" s="91" t="s">
        <v>757</v>
      </c>
      <c r="W544" s="91" t="s">
        <v>758</v>
      </c>
      <c r="X544" s="91" t="s">
        <v>759</v>
      </c>
      <c r="Y544" s="91" t="s">
        <v>762</v>
      </c>
      <c r="Z544" s="91" t="s">
        <v>763</v>
      </c>
      <c r="AA544" s="91" t="s">
        <v>764</v>
      </c>
      <c r="AB544" s="91" t="s">
        <v>765</v>
      </c>
      <c r="AC544" s="91" t="s">
        <v>766</v>
      </c>
      <c r="AD544" s="91" t="s">
        <v>767</v>
      </c>
      <c r="AE544" s="91" t="s">
        <v>919</v>
      </c>
      <c r="AF544" s="91" t="s">
        <v>920</v>
      </c>
    </row>
    <row r="545" spans="1:32" ht="12.75" customHeight="1">
      <c r="A545" s="92" t="s">
        <v>703</v>
      </c>
      <c r="B545" s="92" t="s">
        <v>53</v>
      </c>
      <c r="C545" s="92" t="s">
        <v>922</v>
      </c>
      <c r="D545" s="92"/>
      <c r="E545" s="92" t="s">
        <v>768</v>
      </c>
      <c r="F545" s="92"/>
      <c r="G545" s="156">
        <v>9971640</v>
      </c>
      <c r="H545" s="156">
        <v>1416643</v>
      </c>
      <c r="I545" s="156" t="s">
        <v>769</v>
      </c>
      <c r="J545" s="156">
        <v>12</v>
      </c>
      <c r="K545" s="156">
        <v>21</v>
      </c>
      <c r="L545" s="96">
        <v>271585</v>
      </c>
      <c r="M545" s="100">
        <v>44505</v>
      </c>
      <c r="N545" s="100">
        <v>44536</v>
      </c>
      <c r="O545" s="100">
        <v>44536</v>
      </c>
      <c r="P545" s="92" t="s">
        <v>2753</v>
      </c>
      <c r="Q545" s="92" t="s">
        <v>633</v>
      </c>
      <c r="R545" s="92" t="s">
        <v>2754</v>
      </c>
      <c r="S545" s="92" t="s">
        <v>2755</v>
      </c>
      <c r="T545" s="92" t="s">
        <v>2756</v>
      </c>
      <c r="U545" s="92"/>
      <c r="V545" s="92"/>
      <c r="W545" s="92"/>
      <c r="X545" s="92"/>
      <c r="Y545" s="92" t="s">
        <v>606</v>
      </c>
      <c r="Z545" s="92" t="s">
        <v>770</v>
      </c>
      <c r="AA545" s="92" t="s">
        <v>1236</v>
      </c>
      <c r="AB545" s="92" t="s">
        <v>778</v>
      </c>
      <c r="AC545" s="92" t="s">
        <v>912</v>
      </c>
      <c r="AD545" s="92" t="s">
        <v>2752</v>
      </c>
      <c r="AE545" s="92"/>
      <c r="AF545" s="92"/>
    </row>
    <row r="546" spans="1:32" ht="12.75" customHeight="1">
      <c r="A546" s="92" t="s">
        <v>703</v>
      </c>
      <c r="B546" s="92" t="s">
        <v>53</v>
      </c>
      <c r="C546" s="92" t="s">
        <v>922</v>
      </c>
      <c r="D546" s="92"/>
      <c r="E546" s="92" t="s">
        <v>768</v>
      </c>
      <c r="F546" s="92"/>
      <c r="G546" s="156">
        <v>9971681</v>
      </c>
      <c r="H546" s="156">
        <v>1416684</v>
      </c>
      <c r="I546" s="156" t="s">
        <v>769</v>
      </c>
      <c r="J546" s="156">
        <v>12</v>
      </c>
      <c r="K546" s="156">
        <v>21</v>
      </c>
      <c r="L546" s="96">
        <v>303766.65999999997</v>
      </c>
      <c r="M546" s="100">
        <v>44505</v>
      </c>
      <c r="N546" s="100">
        <v>44536</v>
      </c>
      <c r="O546" s="100">
        <v>44536</v>
      </c>
      <c r="P546" s="92" t="s">
        <v>2758</v>
      </c>
      <c r="Q546" s="92" t="s">
        <v>2759</v>
      </c>
      <c r="R546" s="92" t="s">
        <v>2760</v>
      </c>
      <c r="S546" s="92" t="s">
        <v>2755</v>
      </c>
      <c r="T546" s="92" t="s">
        <v>2761</v>
      </c>
      <c r="U546" s="92"/>
      <c r="V546" s="92"/>
      <c r="W546" s="92"/>
      <c r="X546" s="92"/>
      <c r="Y546" s="92" t="s">
        <v>606</v>
      </c>
      <c r="Z546" s="92" t="s">
        <v>770</v>
      </c>
      <c r="AA546" s="92" t="s">
        <v>1236</v>
      </c>
      <c r="AB546" s="92" t="s">
        <v>778</v>
      </c>
      <c r="AC546" s="92" t="s">
        <v>912</v>
      </c>
      <c r="AD546" s="92" t="s">
        <v>2757</v>
      </c>
      <c r="AE546" s="92"/>
      <c r="AF546" s="92"/>
    </row>
    <row r="547" spans="1:32" ht="12.75" customHeight="1">
      <c r="A547" s="92" t="s">
        <v>703</v>
      </c>
      <c r="B547" s="92" t="s">
        <v>53</v>
      </c>
      <c r="C547" s="92" t="s">
        <v>922</v>
      </c>
      <c r="D547" s="92"/>
      <c r="E547" s="92" t="s">
        <v>768</v>
      </c>
      <c r="F547" s="92"/>
      <c r="G547" s="156">
        <v>9974814</v>
      </c>
      <c r="H547" s="156">
        <v>1418308</v>
      </c>
      <c r="I547" s="156" t="s">
        <v>769</v>
      </c>
      <c r="J547" s="156">
        <v>12</v>
      </c>
      <c r="K547" s="156">
        <v>21</v>
      </c>
      <c r="L547" s="96">
        <v>437400</v>
      </c>
      <c r="M547" s="100">
        <v>44460</v>
      </c>
      <c r="N547" s="100">
        <v>44540</v>
      </c>
      <c r="O547" s="100">
        <v>44540</v>
      </c>
      <c r="P547" s="92" t="s">
        <v>2788</v>
      </c>
      <c r="Q547" s="92" t="s">
        <v>1879</v>
      </c>
      <c r="R547" s="92" t="s">
        <v>2789</v>
      </c>
      <c r="S547" s="92" t="s">
        <v>2069</v>
      </c>
      <c r="T547" s="92" t="s">
        <v>2790</v>
      </c>
      <c r="U547" s="92"/>
      <c r="V547" s="92"/>
      <c r="W547" s="92"/>
      <c r="X547" s="92"/>
      <c r="Y547" s="92" t="s">
        <v>606</v>
      </c>
      <c r="Z547" s="92" t="s">
        <v>770</v>
      </c>
      <c r="AA547" s="92" t="s">
        <v>1236</v>
      </c>
      <c r="AB547" s="92" t="s">
        <v>778</v>
      </c>
      <c r="AC547" s="92" t="s">
        <v>912</v>
      </c>
      <c r="AD547" s="92" t="s">
        <v>2791</v>
      </c>
      <c r="AE547" s="92"/>
      <c r="AF547" s="92"/>
    </row>
    <row r="548" spans="1:32" ht="12.75" customHeight="1">
      <c r="A548" s="92" t="s">
        <v>703</v>
      </c>
      <c r="B548" s="92" t="s">
        <v>53</v>
      </c>
      <c r="C548" s="92" t="s">
        <v>922</v>
      </c>
      <c r="D548" s="92"/>
      <c r="E548" s="92" t="s">
        <v>49</v>
      </c>
      <c r="F548" s="92"/>
      <c r="G548" s="156">
        <v>9968768</v>
      </c>
      <c r="H548" s="156">
        <v>18847884</v>
      </c>
      <c r="I548" s="156" t="s">
        <v>772</v>
      </c>
      <c r="J548" s="156">
        <v>12</v>
      </c>
      <c r="K548" s="156">
        <v>21</v>
      </c>
      <c r="L548" s="96">
        <v>825000</v>
      </c>
      <c r="M548" s="100">
        <v>44561</v>
      </c>
      <c r="N548" s="100">
        <v>44561</v>
      </c>
      <c r="O548" s="100">
        <v>44530</v>
      </c>
      <c r="P548" s="92" t="s">
        <v>1573</v>
      </c>
      <c r="Q548" s="92" t="s">
        <v>2523</v>
      </c>
      <c r="R548" s="92"/>
      <c r="S548" s="92">
        <v>0</v>
      </c>
      <c r="T548" s="92" t="s">
        <v>1574</v>
      </c>
      <c r="U548" s="92"/>
      <c r="V548" s="92"/>
      <c r="W548" s="92"/>
      <c r="X548" s="92"/>
      <c r="Y548" s="92" t="s">
        <v>606</v>
      </c>
      <c r="Z548" s="92" t="s">
        <v>770</v>
      </c>
      <c r="AA548" s="92" t="s">
        <v>1041</v>
      </c>
      <c r="AB548" s="92" t="s">
        <v>1253</v>
      </c>
      <c r="AC548" s="92" t="s">
        <v>912</v>
      </c>
      <c r="AD548" s="92" t="s">
        <v>1572</v>
      </c>
      <c r="AE548" s="92"/>
      <c r="AF548" s="92"/>
    </row>
    <row r="549" spans="1:32" ht="12.75" customHeight="1">
      <c r="A549" s="92" t="s">
        <v>703</v>
      </c>
      <c r="B549" s="92" t="s">
        <v>53</v>
      </c>
      <c r="C549" s="92" t="s">
        <v>922</v>
      </c>
      <c r="D549" s="92"/>
      <c r="E549" s="92" t="s">
        <v>49</v>
      </c>
      <c r="F549" s="92"/>
      <c r="G549" s="156">
        <v>9968954</v>
      </c>
      <c r="H549" s="156">
        <v>18848223</v>
      </c>
      <c r="I549" s="156" t="s">
        <v>772</v>
      </c>
      <c r="J549" s="156">
        <v>12</v>
      </c>
      <c r="K549" s="156">
        <v>21</v>
      </c>
      <c r="L549" s="96">
        <v>17509.349999999999</v>
      </c>
      <c r="M549" s="100">
        <v>44561</v>
      </c>
      <c r="N549" s="100">
        <v>44561</v>
      </c>
      <c r="O549" s="100">
        <v>44530</v>
      </c>
      <c r="P549" s="92" t="s">
        <v>2663</v>
      </c>
      <c r="Q549" s="92" t="s">
        <v>2664</v>
      </c>
      <c r="R549" s="92"/>
      <c r="S549" s="92">
        <v>0</v>
      </c>
      <c r="T549" s="92" t="s">
        <v>2539</v>
      </c>
      <c r="U549" s="92"/>
      <c r="V549" s="92"/>
      <c r="W549" s="92"/>
      <c r="X549" s="92"/>
      <c r="Y549" s="92" t="s">
        <v>606</v>
      </c>
      <c r="Z549" s="92" t="s">
        <v>770</v>
      </c>
      <c r="AA549" s="92" t="s">
        <v>2665</v>
      </c>
      <c r="AB549" s="92" t="s">
        <v>778</v>
      </c>
      <c r="AC549" s="92" t="s">
        <v>912</v>
      </c>
      <c r="AD549" s="92" t="s">
        <v>2209</v>
      </c>
      <c r="AE549" s="92"/>
      <c r="AF549" s="92"/>
    </row>
    <row r="550" spans="1:32" ht="12.75" customHeight="1">
      <c r="A550" s="92" t="s">
        <v>703</v>
      </c>
      <c r="B550" s="92" t="s">
        <v>53</v>
      </c>
      <c r="C550" s="92" t="s">
        <v>922</v>
      </c>
      <c r="D550" s="92"/>
      <c r="E550" s="92" t="s">
        <v>49</v>
      </c>
      <c r="F550" s="92"/>
      <c r="G550" s="156">
        <v>9968954</v>
      </c>
      <c r="H550" s="156">
        <v>18848223</v>
      </c>
      <c r="I550" s="156" t="s">
        <v>772</v>
      </c>
      <c r="J550" s="156">
        <v>12</v>
      </c>
      <c r="K550" s="156">
        <v>21</v>
      </c>
      <c r="L550" s="96">
        <v>-4900000</v>
      </c>
      <c r="M550" s="100">
        <v>44561</v>
      </c>
      <c r="N550" s="100">
        <v>44561</v>
      </c>
      <c r="O550" s="100">
        <v>44530</v>
      </c>
      <c r="P550" s="92" t="s">
        <v>2218</v>
      </c>
      <c r="Q550" s="92" t="s">
        <v>2664</v>
      </c>
      <c r="R550" s="92"/>
      <c r="S550" s="92">
        <v>0</v>
      </c>
      <c r="T550" s="92" t="s">
        <v>2539</v>
      </c>
      <c r="U550" s="92"/>
      <c r="V550" s="92"/>
      <c r="W550" s="92"/>
      <c r="X550" s="92"/>
      <c r="Y550" s="92" t="s">
        <v>606</v>
      </c>
      <c r="Z550" s="92" t="s">
        <v>770</v>
      </c>
      <c r="AA550" s="92" t="s">
        <v>2665</v>
      </c>
      <c r="AB550" s="92" t="s">
        <v>778</v>
      </c>
      <c r="AC550" s="92" t="s">
        <v>912</v>
      </c>
      <c r="AD550" s="92" t="s">
        <v>2209</v>
      </c>
      <c r="AE550" s="92"/>
      <c r="AF550" s="92"/>
    </row>
    <row r="551" spans="1:32" ht="12.75" customHeight="1">
      <c r="A551" s="92" t="s">
        <v>703</v>
      </c>
      <c r="B551" s="92" t="s">
        <v>53</v>
      </c>
      <c r="C551" s="92" t="s">
        <v>922</v>
      </c>
      <c r="D551" s="92"/>
      <c r="E551" s="92" t="s">
        <v>49</v>
      </c>
      <c r="F551" s="92"/>
      <c r="G551" s="156">
        <v>9969163</v>
      </c>
      <c r="H551" s="156">
        <v>18848295</v>
      </c>
      <c r="I551" s="156" t="s">
        <v>772</v>
      </c>
      <c r="J551" s="156">
        <v>12</v>
      </c>
      <c r="K551" s="156">
        <v>21</v>
      </c>
      <c r="L551" s="96">
        <v>-475000</v>
      </c>
      <c r="M551" s="100">
        <v>44561</v>
      </c>
      <c r="N551" s="100">
        <v>44561</v>
      </c>
      <c r="O551" s="100">
        <v>44531</v>
      </c>
      <c r="P551" s="92" t="s">
        <v>2650</v>
      </c>
      <c r="Q551" s="92" t="s">
        <v>2651</v>
      </c>
      <c r="R551" s="92"/>
      <c r="S551" s="92">
        <v>0</v>
      </c>
      <c r="T551" s="92" t="s">
        <v>2652</v>
      </c>
      <c r="U551" s="92"/>
      <c r="V551" s="92"/>
      <c r="W551" s="92" t="s">
        <v>773</v>
      </c>
      <c r="X551" s="92"/>
      <c r="Y551" s="92" t="s">
        <v>606</v>
      </c>
      <c r="Z551" s="92" t="s">
        <v>770</v>
      </c>
      <c r="AA551" s="92" t="s">
        <v>1041</v>
      </c>
      <c r="AB551" s="92" t="s">
        <v>1253</v>
      </c>
      <c r="AC551" s="92" t="s">
        <v>912</v>
      </c>
      <c r="AD551" s="92" t="s">
        <v>2653</v>
      </c>
      <c r="AE551" s="92"/>
      <c r="AF551" s="92"/>
    </row>
    <row r="552" spans="1:32" ht="12.75" customHeight="1">
      <c r="A552" s="92" t="s">
        <v>703</v>
      </c>
      <c r="B552" s="92" t="s">
        <v>53</v>
      </c>
      <c r="C552" s="92" t="s">
        <v>922</v>
      </c>
      <c r="D552" s="92"/>
      <c r="E552" s="92" t="s">
        <v>49</v>
      </c>
      <c r="F552" s="92"/>
      <c r="G552" s="156">
        <v>9969163</v>
      </c>
      <c r="H552" s="156">
        <v>18848295</v>
      </c>
      <c r="I552" s="156" t="s">
        <v>772</v>
      </c>
      <c r="J552" s="156">
        <v>12</v>
      </c>
      <c r="K552" s="156">
        <v>21</v>
      </c>
      <c r="L552" s="96">
        <v>-100000</v>
      </c>
      <c r="M552" s="100">
        <v>44561</v>
      </c>
      <c r="N552" s="100">
        <v>44561</v>
      </c>
      <c r="O552" s="100">
        <v>44531</v>
      </c>
      <c r="P552" s="92" t="s">
        <v>2654</v>
      </c>
      <c r="Q552" s="92" t="s">
        <v>2651</v>
      </c>
      <c r="R552" s="92"/>
      <c r="S552" s="92">
        <v>0</v>
      </c>
      <c r="T552" s="92" t="s">
        <v>2655</v>
      </c>
      <c r="U552" s="92"/>
      <c r="V552" s="92"/>
      <c r="W552" s="92" t="s">
        <v>773</v>
      </c>
      <c r="X552" s="92"/>
      <c r="Y552" s="92" t="s">
        <v>606</v>
      </c>
      <c r="Z552" s="92" t="s">
        <v>770</v>
      </c>
      <c r="AA552" s="92" t="s">
        <v>1041</v>
      </c>
      <c r="AB552" s="92" t="s">
        <v>1253</v>
      </c>
      <c r="AC552" s="92" t="s">
        <v>912</v>
      </c>
      <c r="AD552" s="92" t="s">
        <v>2656</v>
      </c>
      <c r="AE552" s="92"/>
      <c r="AF552" s="92"/>
    </row>
    <row r="553" spans="1:32" ht="12.75" customHeight="1">
      <c r="A553" s="92" t="s">
        <v>703</v>
      </c>
      <c r="B553" s="92" t="s">
        <v>53</v>
      </c>
      <c r="C553" s="92" t="s">
        <v>922</v>
      </c>
      <c r="D553" s="92"/>
      <c r="E553" s="92" t="s">
        <v>49</v>
      </c>
      <c r="F553" s="92"/>
      <c r="G553" s="156">
        <v>9969163</v>
      </c>
      <c r="H553" s="156">
        <v>18848295</v>
      </c>
      <c r="I553" s="156" t="s">
        <v>772</v>
      </c>
      <c r="J553" s="156">
        <v>12</v>
      </c>
      <c r="K553" s="156">
        <v>21</v>
      </c>
      <c r="L553" s="96">
        <v>-342240</v>
      </c>
      <c r="M553" s="100">
        <v>44561</v>
      </c>
      <c r="N553" s="100">
        <v>44561</v>
      </c>
      <c r="O553" s="100">
        <v>44531</v>
      </c>
      <c r="P553" s="92" t="s">
        <v>2657</v>
      </c>
      <c r="Q553" s="92" t="s">
        <v>2651</v>
      </c>
      <c r="R553" s="92"/>
      <c r="S553" s="92">
        <v>0</v>
      </c>
      <c r="T553" s="92" t="s">
        <v>2658</v>
      </c>
      <c r="U553" s="92"/>
      <c r="V553" s="92"/>
      <c r="W553" s="92" t="s">
        <v>773</v>
      </c>
      <c r="X553" s="92"/>
      <c r="Y553" s="92" t="s">
        <v>606</v>
      </c>
      <c r="Z553" s="92" t="s">
        <v>770</v>
      </c>
      <c r="AA553" s="92" t="s">
        <v>1041</v>
      </c>
      <c r="AB553" s="92" t="s">
        <v>1253</v>
      </c>
      <c r="AC553" s="92" t="s">
        <v>912</v>
      </c>
      <c r="AD553" s="92" t="s">
        <v>2659</v>
      </c>
      <c r="AE553" s="92"/>
      <c r="AF553" s="92"/>
    </row>
    <row r="554" spans="1:32" ht="12.75" customHeight="1">
      <c r="A554" s="92" t="s">
        <v>703</v>
      </c>
      <c r="B554" s="92" t="s">
        <v>53</v>
      </c>
      <c r="C554" s="92" t="s">
        <v>922</v>
      </c>
      <c r="D554" s="92"/>
      <c r="E554" s="92" t="s">
        <v>49</v>
      </c>
      <c r="F554" s="92"/>
      <c r="G554" s="156">
        <v>9969163</v>
      </c>
      <c r="H554" s="156">
        <v>18848295</v>
      </c>
      <c r="I554" s="156" t="s">
        <v>772</v>
      </c>
      <c r="J554" s="156">
        <v>12</v>
      </c>
      <c r="K554" s="156">
        <v>21</v>
      </c>
      <c r="L554" s="96">
        <v>-363400</v>
      </c>
      <c r="M554" s="100">
        <v>44561</v>
      </c>
      <c r="N554" s="100">
        <v>44561</v>
      </c>
      <c r="O554" s="100">
        <v>44531</v>
      </c>
      <c r="P554" s="92" t="s">
        <v>2660</v>
      </c>
      <c r="Q554" s="92" t="s">
        <v>2651</v>
      </c>
      <c r="R554" s="92"/>
      <c r="S554" s="92">
        <v>0</v>
      </c>
      <c r="T554" s="92" t="s">
        <v>2661</v>
      </c>
      <c r="U554" s="92"/>
      <c r="V554" s="92"/>
      <c r="W554" s="92" t="s">
        <v>773</v>
      </c>
      <c r="X554" s="92"/>
      <c r="Y554" s="92" t="s">
        <v>606</v>
      </c>
      <c r="Z554" s="92" t="s">
        <v>770</v>
      </c>
      <c r="AA554" s="92" t="s">
        <v>1041</v>
      </c>
      <c r="AB554" s="92" t="s">
        <v>1253</v>
      </c>
      <c r="AC554" s="92" t="s">
        <v>912</v>
      </c>
      <c r="AD554" s="92" t="s">
        <v>2662</v>
      </c>
      <c r="AE554" s="92"/>
      <c r="AF554" s="92"/>
    </row>
    <row r="555" spans="1:32" ht="12.75" customHeight="1">
      <c r="A555" s="92" t="s">
        <v>703</v>
      </c>
      <c r="B555" s="92" t="s">
        <v>53</v>
      </c>
      <c r="C555" s="92" t="s">
        <v>922</v>
      </c>
      <c r="D555" s="92"/>
      <c r="E555" s="92" t="s">
        <v>49</v>
      </c>
      <c r="F555" s="92"/>
      <c r="G555" s="156">
        <v>9974266</v>
      </c>
      <c r="H555" s="156">
        <v>18849148</v>
      </c>
      <c r="I555" s="156" t="s">
        <v>772</v>
      </c>
      <c r="J555" s="156">
        <v>12</v>
      </c>
      <c r="K555" s="156">
        <v>21</v>
      </c>
      <c r="L555" s="96">
        <v>-911300</v>
      </c>
      <c r="M555" s="100">
        <v>44561</v>
      </c>
      <c r="N555" s="100">
        <v>44561</v>
      </c>
      <c r="O555" s="100">
        <v>44539</v>
      </c>
      <c r="P555" s="92" t="s">
        <v>2792</v>
      </c>
      <c r="Q555" s="92" t="s">
        <v>2793</v>
      </c>
      <c r="R555" s="92"/>
      <c r="S555" s="92">
        <v>0</v>
      </c>
      <c r="T555" s="92" t="s">
        <v>2761</v>
      </c>
      <c r="U555" s="92"/>
      <c r="V555" s="92"/>
      <c r="W555" s="92"/>
      <c r="X555" s="92"/>
      <c r="Y555" s="92" t="s">
        <v>606</v>
      </c>
      <c r="Z555" s="92" t="s">
        <v>770</v>
      </c>
      <c r="AA555" s="92" t="s">
        <v>1041</v>
      </c>
      <c r="AB555" s="92" t="s">
        <v>778</v>
      </c>
      <c r="AC555" s="92" t="s">
        <v>912</v>
      </c>
      <c r="AD555" s="92" t="s">
        <v>2757</v>
      </c>
      <c r="AE555" s="92"/>
      <c r="AF555" s="92"/>
    </row>
    <row r="556" spans="1:32" ht="12.75" customHeight="1">
      <c r="A556" s="92" t="s">
        <v>703</v>
      </c>
      <c r="B556" s="92" t="s">
        <v>53</v>
      </c>
      <c r="C556" s="92" t="s">
        <v>922</v>
      </c>
      <c r="D556" s="92"/>
      <c r="E556" s="92" t="s">
        <v>49</v>
      </c>
      <c r="F556" s="92"/>
      <c r="G556" s="156">
        <v>9974266</v>
      </c>
      <c r="H556" s="156">
        <v>18849148</v>
      </c>
      <c r="I556" s="156" t="s">
        <v>772</v>
      </c>
      <c r="J556" s="156">
        <v>12</v>
      </c>
      <c r="K556" s="156">
        <v>21</v>
      </c>
      <c r="L556" s="96">
        <v>-814755</v>
      </c>
      <c r="M556" s="100">
        <v>44561</v>
      </c>
      <c r="N556" s="100">
        <v>44561</v>
      </c>
      <c r="O556" s="100">
        <v>44539</v>
      </c>
      <c r="P556" s="92" t="s">
        <v>2794</v>
      </c>
      <c r="Q556" s="92" t="s">
        <v>2793</v>
      </c>
      <c r="R556" s="92"/>
      <c r="S556" s="92">
        <v>0</v>
      </c>
      <c r="T556" s="92" t="s">
        <v>2756</v>
      </c>
      <c r="U556" s="92"/>
      <c r="V556" s="92"/>
      <c r="W556" s="92"/>
      <c r="X556" s="92"/>
      <c r="Y556" s="92" t="s">
        <v>606</v>
      </c>
      <c r="Z556" s="92" t="s">
        <v>770</v>
      </c>
      <c r="AA556" s="92" t="s">
        <v>1041</v>
      </c>
      <c r="AB556" s="92" t="s">
        <v>778</v>
      </c>
      <c r="AC556" s="92" t="s">
        <v>912</v>
      </c>
      <c r="AD556" s="92" t="s">
        <v>2752</v>
      </c>
      <c r="AE556" s="92"/>
      <c r="AF556" s="92"/>
    </row>
    <row r="557" spans="1:32" ht="12.75" customHeight="1">
      <c r="A557" s="92" t="s">
        <v>703</v>
      </c>
      <c r="B557" s="92" t="s">
        <v>1007</v>
      </c>
      <c r="C557" s="92" t="s">
        <v>922</v>
      </c>
      <c r="D557" s="92"/>
      <c r="E557" s="92" t="s">
        <v>768</v>
      </c>
      <c r="F557" s="92"/>
      <c r="G557" s="156">
        <v>9980094</v>
      </c>
      <c r="H557" s="156">
        <v>1419534</v>
      </c>
      <c r="I557" s="156" t="s">
        <v>769</v>
      </c>
      <c r="J557" s="156">
        <v>12</v>
      </c>
      <c r="K557" s="156">
        <v>21</v>
      </c>
      <c r="L557" s="96">
        <v>75000</v>
      </c>
      <c r="M557" s="100">
        <v>44539</v>
      </c>
      <c r="N557" s="100">
        <v>44552</v>
      </c>
      <c r="O557" s="100">
        <v>44552</v>
      </c>
      <c r="P557" s="92" t="s">
        <v>2839</v>
      </c>
      <c r="Q557" s="92" t="s">
        <v>2840</v>
      </c>
      <c r="R557" s="92" t="s">
        <v>2841</v>
      </c>
      <c r="S557" s="92" t="s">
        <v>2842</v>
      </c>
      <c r="T557" s="92" t="s">
        <v>2843</v>
      </c>
      <c r="U557" s="92"/>
      <c r="V557" s="92"/>
      <c r="W557" s="92"/>
      <c r="X557" s="92"/>
      <c r="Y557" s="92" t="s">
        <v>606</v>
      </c>
      <c r="Z557" s="92" t="s">
        <v>770</v>
      </c>
      <c r="AA557" s="92" t="s">
        <v>1236</v>
      </c>
      <c r="AB557" s="92" t="s">
        <v>778</v>
      </c>
      <c r="AC557" s="92" t="s">
        <v>1008</v>
      </c>
      <c r="AD557" s="92" t="s">
        <v>2844</v>
      </c>
      <c r="AE557" s="92"/>
      <c r="AF557" s="92"/>
    </row>
    <row r="558" spans="1:32" ht="12.75" customHeight="1">
      <c r="A558" s="92" t="s">
        <v>703</v>
      </c>
      <c r="B558" s="92" t="s">
        <v>58</v>
      </c>
      <c r="C558" s="92" t="s">
        <v>922</v>
      </c>
      <c r="D558" s="92"/>
      <c r="E558" s="92" t="s">
        <v>49</v>
      </c>
      <c r="F558" s="92" t="s">
        <v>652</v>
      </c>
      <c r="G558" s="156">
        <v>9981614</v>
      </c>
      <c r="H558" s="156">
        <v>1419404</v>
      </c>
      <c r="I558" s="156" t="s">
        <v>853</v>
      </c>
      <c r="J558" s="156">
        <v>12</v>
      </c>
      <c r="K558" s="156">
        <v>21</v>
      </c>
      <c r="L558" s="96">
        <v>238000</v>
      </c>
      <c r="M558" s="100">
        <v>44558</v>
      </c>
      <c r="N558" s="100">
        <v>44558</v>
      </c>
      <c r="O558" s="100">
        <v>44558</v>
      </c>
      <c r="P558" s="92" t="s">
        <v>2845</v>
      </c>
      <c r="Q558" s="92" t="s">
        <v>2846</v>
      </c>
      <c r="R558" s="92"/>
      <c r="S558" s="92">
        <v>0</v>
      </c>
      <c r="T558" s="92" t="s">
        <v>2847</v>
      </c>
      <c r="U558" s="92"/>
      <c r="V558" s="92"/>
      <c r="W558" s="92"/>
      <c r="X558" s="92"/>
      <c r="Y558" s="92" t="s">
        <v>606</v>
      </c>
      <c r="Z558" s="92" t="s">
        <v>770</v>
      </c>
      <c r="AA558" s="92" t="s">
        <v>2848</v>
      </c>
      <c r="AB558" s="92" t="s">
        <v>1305</v>
      </c>
      <c r="AC558" s="92" t="s">
        <v>929</v>
      </c>
      <c r="AD558" s="92" t="s">
        <v>2226</v>
      </c>
      <c r="AE558" s="92"/>
      <c r="AF558" s="92"/>
    </row>
    <row r="559" spans="1:32" ht="12.75" customHeight="1">
      <c r="A559" s="92" t="s">
        <v>703</v>
      </c>
      <c r="B559" s="92" t="s">
        <v>61</v>
      </c>
      <c r="C559" s="92" t="s">
        <v>922</v>
      </c>
      <c r="D559" s="92"/>
      <c r="E559" s="92" t="s">
        <v>768</v>
      </c>
      <c r="F559" s="92"/>
      <c r="G559" s="156">
        <v>9971273</v>
      </c>
      <c r="H559" s="156">
        <v>1416281</v>
      </c>
      <c r="I559" s="156" t="s">
        <v>769</v>
      </c>
      <c r="J559" s="156">
        <v>12</v>
      </c>
      <c r="K559" s="156">
        <v>21</v>
      </c>
      <c r="L559" s="96">
        <v>20000</v>
      </c>
      <c r="M559" s="100">
        <v>44525</v>
      </c>
      <c r="N559" s="100">
        <v>44536</v>
      </c>
      <c r="O559" s="100">
        <v>44536</v>
      </c>
      <c r="P559" s="92" t="s">
        <v>2763</v>
      </c>
      <c r="Q559" s="92" t="s">
        <v>2764</v>
      </c>
      <c r="R559" s="92" t="s">
        <v>2765</v>
      </c>
      <c r="S559" s="92" t="s">
        <v>2766</v>
      </c>
      <c r="T559" s="92" t="s">
        <v>2673</v>
      </c>
      <c r="U559" s="92"/>
      <c r="V559" s="92"/>
      <c r="W559" s="92"/>
      <c r="X559" s="92"/>
      <c r="Y559" s="92" t="s">
        <v>606</v>
      </c>
      <c r="Z559" s="92" t="s">
        <v>770</v>
      </c>
      <c r="AA559" s="92" t="s">
        <v>1236</v>
      </c>
      <c r="AB559" s="92" t="s">
        <v>778</v>
      </c>
      <c r="AC559" s="92" t="s">
        <v>933</v>
      </c>
      <c r="AD559" s="92" t="s">
        <v>2762</v>
      </c>
      <c r="AE559" s="92"/>
      <c r="AF559" s="92"/>
    </row>
    <row r="560" spans="1:32" ht="12.75" customHeight="1">
      <c r="A560" s="92" t="s">
        <v>703</v>
      </c>
      <c r="B560" s="92" t="s">
        <v>61</v>
      </c>
      <c r="C560" s="92" t="s">
        <v>922</v>
      </c>
      <c r="D560" s="92"/>
      <c r="E560" s="92" t="s">
        <v>768</v>
      </c>
      <c r="F560" s="92" t="s">
        <v>768</v>
      </c>
      <c r="G560" s="156">
        <v>9962126</v>
      </c>
      <c r="H560" s="156">
        <v>1415210</v>
      </c>
      <c r="I560" s="156" t="s">
        <v>769</v>
      </c>
      <c r="J560" s="156">
        <v>12</v>
      </c>
      <c r="K560" s="156">
        <v>21</v>
      </c>
      <c r="L560" s="96">
        <v>57999.99</v>
      </c>
      <c r="M560" s="100">
        <v>44495</v>
      </c>
      <c r="N560" s="100">
        <v>44539</v>
      </c>
      <c r="O560" s="100">
        <v>44511</v>
      </c>
      <c r="P560" s="92" t="s">
        <v>2544</v>
      </c>
      <c r="Q560" s="92" t="s">
        <v>2319</v>
      </c>
      <c r="R560" s="92" t="s">
        <v>2545</v>
      </c>
      <c r="S560" s="92" t="s">
        <v>2546</v>
      </c>
      <c r="T560" s="92" t="s">
        <v>2547</v>
      </c>
      <c r="U560" s="92"/>
      <c r="V560" s="92"/>
      <c r="W560" s="92"/>
      <c r="X560" s="92"/>
      <c r="Y560" s="92" t="s">
        <v>606</v>
      </c>
      <c r="Z560" s="92" t="s">
        <v>770</v>
      </c>
      <c r="AA560" s="92" t="s">
        <v>1236</v>
      </c>
      <c r="AB560" s="92" t="s">
        <v>1433</v>
      </c>
      <c r="AC560" s="92" t="s">
        <v>933</v>
      </c>
      <c r="AD560" s="92" t="s">
        <v>2237</v>
      </c>
      <c r="AE560" s="92"/>
      <c r="AF560" s="92"/>
    </row>
    <row r="561" spans="1:32" ht="12.75" customHeight="1">
      <c r="A561" s="92" t="s">
        <v>703</v>
      </c>
      <c r="B561" s="92" t="s">
        <v>61</v>
      </c>
      <c r="C561" s="92" t="s">
        <v>922</v>
      </c>
      <c r="D561" s="92"/>
      <c r="E561" s="92" t="s">
        <v>768</v>
      </c>
      <c r="F561" s="92" t="s">
        <v>768</v>
      </c>
      <c r="G561" s="156">
        <v>9962126</v>
      </c>
      <c r="H561" s="156">
        <v>1415210</v>
      </c>
      <c r="I561" s="156" t="s">
        <v>769</v>
      </c>
      <c r="J561" s="156">
        <v>12</v>
      </c>
      <c r="K561" s="156">
        <v>21</v>
      </c>
      <c r="L561" s="96">
        <v>-58000</v>
      </c>
      <c r="M561" s="100">
        <v>44495</v>
      </c>
      <c r="N561" s="100">
        <v>44539</v>
      </c>
      <c r="O561" s="100">
        <v>44511</v>
      </c>
      <c r="P561" s="92" t="s">
        <v>2548</v>
      </c>
      <c r="Q561" s="92" t="s">
        <v>2319</v>
      </c>
      <c r="R561" s="92" t="s">
        <v>2545</v>
      </c>
      <c r="S561" s="92" t="s">
        <v>2546</v>
      </c>
      <c r="T561" s="92" t="s">
        <v>2547</v>
      </c>
      <c r="U561" s="92"/>
      <c r="V561" s="92"/>
      <c r="W561" s="92"/>
      <c r="X561" s="92"/>
      <c r="Y561" s="92" t="s">
        <v>606</v>
      </c>
      <c r="Z561" s="92" t="s">
        <v>770</v>
      </c>
      <c r="AA561" s="92" t="s">
        <v>1236</v>
      </c>
      <c r="AB561" s="92" t="s">
        <v>1433</v>
      </c>
      <c r="AC561" s="92" t="s">
        <v>933</v>
      </c>
      <c r="AD561" s="92" t="s">
        <v>2237</v>
      </c>
      <c r="AE561" s="92"/>
      <c r="AF561" s="92"/>
    </row>
    <row r="562" spans="1:32" ht="12.75" customHeight="1">
      <c r="A562" s="92" t="s">
        <v>703</v>
      </c>
      <c r="B562" s="92" t="s">
        <v>61</v>
      </c>
      <c r="C562" s="92" t="s">
        <v>922</v>
      </c>
      <c r="D562" s="92"/>
      <c r="E562" s="92" t="s">
        <v>768</v>
      </c>
      <c r="F562" s="92"/>
      <c r="G562" s="156">
        <v>9976836</v>
      </c>
      <c r="H562" s="156">
        <v>1418836</v>
      </c>
      <c r="I562" s="156" t="s">
        <v>769</v>
      </c>
      <c r="J562" s="156">
        <v>12</v>
      </c>
      <c r="K562" s="156">
        <v>21</v>
      </c>
      <c r="L562" s="96">
        <v>517140</v>
      </c>
      <c r="M562" s="100">
        <v>44470</v>
      </c>
      <c r="N562" s="100">
        <v>44545</v>
      </c>
      <c r="O562" s="100">
        <v>44545</v>
      </c>
      <c r="P562" s="92" t="s">
        <v>2795</v>
      </c>
      <c r="Q562" s="92" t="s">
        <v>655</v>
      </c>
      <c r="R562" s="92" t="s">
        <v>2796</v>
      </c>
      <c r="S562" s="92" t="s">
        <v>1412</v>
      </c>
      <c r="T562" s="92" t="s">
        <v>2671</v>
      </c>
      <c r="U562" s="92"/>
      <c r="V562" s="92"/>
      <c r="W562" s="92"/>
      <c r="X562" s="92"/>
      <c r="Y562" s="92" t="s">
        <v>606</v>
      </c>
      <c r="Z562" s="92" t="s">
        <v>770</v>
      </c>
      <c r="AA562" s="92" t="s">
        <v>1236</v>
      </c>
      <c r="AB562" s="92" t="s">
        <v>778</v>
      </c>
      <c r="AC562" s="92" t="s">
        <v>933</v>
      </c>
      <c r="AD562" s="92" t="s">
        <v>2524</v>
      </c>
      <c r="AE562" s="92"/>
      <c r="AF562" s="92"/>
    </row>
    <row r="563" spans="1:32" ht="12.75" customHeight="1">
      <c r="A563" s="92" t="s">
        <v>703</v>
      </c>
      <c r="B563" s="92" t="s">
        <v>61</v>
      </c>
      <c r="C563" s="92" t="s">
        <v>922</v>
      </c>
      <c r="D563" s="92"/>
      <c r="E563" s="92" t="s">
        <v>49</v>
      </c>
      <c r="F563" s="92"/>
      <c r="G563" s="156">
        <v>9966524</v>
      </c>
      <c r="H563" s="156">
        <v>18844873</v>
      </c>
      <c r="I563" s="156" t="s">
        <v>772</v>
      </c>
      <c r="J563" s="156">
        <v>12</v>
      </c>
      <c r="K563" s="156">
        <v>21</v>
      </c>
      <c r="L563" s="96">
        <v>-517140</v>
      </c>
      <c r="M563" s="100">
        <v>44561</v>
      </c>
      <c r="N563" s="100">
        <v>44561</v>
      </c>
      <c r="O563" s="100">
        <v>44519</v>
      </c>
      <c r="P563" s="92" t="s">
        <v>2669</v>
      </c>
      <c r="Q563" s="92" t="s">
        <v>2670</v>
      </c>
      <c r="R563" s="92"/>
      <c r="S563" s="92">
        <v>0</v>
      </c>
      <c r="T563" s="92" t="s">
        <v>2671</v>
      </c>
      <c r="U563" s="92"/>
      <c r="V563" s="92"/>
      <c r="W563" s="92" t="s">
        <v>1251</v>
      </c>
      <c r="X563" s="92"/>
      <c r="Y563" s="92" t="s">
        <v>606</v>
      </c>
      <c r="Z563" s="92" t="s">
        <v>770</v>
      </c>
      <c r="AA563" s="92" t="s">
        <v>1772</v>
      </c>
      <c r="AB563" s="92" t="s">
        <v>778</v>
      </c>
      <c r="AC563" s="92" t="s">
        <v>933</v>
      </c>
      <c r="AD563" s="92" t="s">
        <v>2524</v>
      </c>
      <c r="AE563" s="92"/>
      <c r="AF563" s="92"/>
    </row>
    <row r="564" spans="1:32" ht="12.75" customHeight="1">
      <c r="A564" s="92" t="s">
        <v>703</v>
      </c>
      <c r="B564" s="92" t="s">
        <v>61</v>
      </c>
      <c r="C564" s="92" t="s">
        <v>922</v>
      </c>
      <c r="D564" s="92"/>
      <c r="E564" s="92" t="s">
        <v>49</v>
      </c>
      <c r="F564" s="92"/>
      <c r="G564" s="156">
        <v>9966524</v>
      </c>
      <c r="H564" s="156">
        <v>18844873</v>
      </c>
      <c r="I564" s="156" t="s">
        <v>772</v>
      </c>
      <c r="J564" s="156">
        <v>12</v>
      </c>
      <c r="K564" s="156">
        <v>21</v>
      </c>
      <c r="L564" s="96">
        <v>-20000</v>
      </c>
      <c r="M564" s="100">
        <v>44561</v>
      </c>
      <c r="N564" s="100">
        <v>44561</v>
      </c>
      <c r="O564" s="100">
        <v>44519</v>
      </c>
      <c r="P564" s="92" t="s">
        <v>2672</v>
      </c>
      <c r="Q564" s="92" t="s">
        <v>2670</v>
      </c>
      <c r="R564" s="92"/>
      <c r="S564" s="92">
        <v>0</v>
      </c>
      <c r="T564" s="92" t="s">
        <v>2673</v>
      </c>
      <c r="U564" s="92"/>
      <c r="V564" s="92"/>
      <c r="W564" s="92" t="s">
        <v>1251</v>
      </c>
      <c r="X564" s="92"/>
      <c r="Y564" s="92" t="s">
        <v>606</v>
      </c>
      <c r="Z564" s="92" t="s">
        <v>770</v>
      </c>
      <c r="AA564" s="92" t="s">
        <v>1772</v>
      </c>
      <c r="AB564" s="92" t="s">
        <v>778</v>
      </c>
      <c r="AC564" s="92" t="s">
        <v>933</v>
      </c>
      <c r="AD564" s="92" t="s">
        <v>2525</v>
      </c>
      <c r="AE564" s="92"/>
      <c r="AF564" s="92"/>
    </row>
    <row r="565" spans="1:32" ht="12.75" customHeight="1">
      <c r="A565" s="92" t="s">
        <v>703</v>
      </c>
      <c r="B565" s="92" t="s">
        <v>61</v>
      </c>
      <c r="C565" s="92" t="s">
        <v>922</v>
      </c>
      <c r="D565" s="92"/>
      <c r="E565" s="92" t="s">
        <v>49</v>
      </c>
      <c r="F565" s="92"/>
      <c r="G565" s="156">
        <v>9966906</v>
      </c>
      <c r="H565" s="156">
        <v>18845159</v>
      </c>
      <c r="I565" s="156" t="s">
        <v>772</v>
      </c>
      <c r="J565" s="156">
        <v>12</v>
      </c>
      <c r="K565" s="156">
        <v>21</v>
      </c>
      <c r="L565" s="96">
        <v>-137730</v>
      </c>
      <c r="M565" s="100">
        <v>44561</v>
      </c>
      <c r="N565" s="100">
        <v>44561</v>
      </c>
      <c r="O565" s="100">
        <v>44522</v>
      </c>
      <c r="P565" s="92" t="s">
        <v>2674</v>
      </c>
      <c r="Q565" s="92" t="s">
        <v>2675</v>
      </c>
      <c r="R565" s="92"/>
      <c r="S565" s="92">
        <v>0</v>
      </c>
      <c r="T565" s="92" t="s">
        <v>2542</v>
      </c>
      <c r="U565" s="92"/>
      <c r="V565" s="92"/>
      <c r="W565" s="92" t="s">
        <v>1251</v>
      </c>
      <c r="X565" s="92"/>
      <c r="Y565" s="92" t="s">
        <v>606</v>
      </c>
      <c r="Z565" s="92" t="s">
        <v>770</v>
      </c>
      <c r="AA565" s="92" t="s">
        <v>1772</v>
      </c>
      <c r="AB565" s="92" t="s">
        <v>778</v>
      </c>
      <c r="AC565" s="92" t="s">
        <v>933</v>
      </c>
      <c r="AD565" s="92" t="s">
        <v>2543</v>
      </c>
      <c r="AE565" s="92"/>
      <c r="AF565" s="92"/>
    </row>
    <row r="566" spans="1:32" ht="12.75" customHeight="1">
      <c r="A566" s="92" t="s">
        <v>703</v>
      </c>
      <c r="B566" s="92" t="s">
        <v>61</v>
      </c>
      <c r="C566" s="92" t="s">
        <v>922</v>
      </c>
      <c r="D566" s="92"/>
      <c r="E566" s="92" t="s">
        <v>49</v>
      </c>
      <c r="F566" s="92"/>
      <c r="G566" s="156">
        <v>9968927</v>
      </c>
      <c r="H566" s="156">
        <v>18848213</v>
      </c>
      <c r="I566" s="156" t="s">
        <v>772</v>
      </c>
      <c r="J566" s="156">
        <v>12</v>
      </c>
      <c r="K566" s="156">
        <v>21</v>
      </c>
      <c r="L566" s="96">
        <v>-165000</v>
      </c>
      <c r="M566" s="100">
        <v>44561</v>
      </c>
      <c r="N566" s="100">
        <v>44561</v>
      </c>
      <c r="O566" s="100">
        <v>44530</v>
      </c>
      <c r="P566" s="92" t="s">
        <v>2666</v>
      </c>
      <c r="Q566" s="92" t="s">
        <v>2667</v>
      </c>
      <c r="R566" s="92"/>
      <c r="S566" s="92">
        <v>0</v>
      </c>
      <c r="T566" s="92" t="s">
        <v>2668</v>
      </c>
      <c r="U566" s="92"/>
      <c r="V566" s="92"/>
      <c r="W566" s="92" t="s">
        <v>1251</v>
      </c>
      <c r="X566" s="92"/>
      <c r="Y566" s="92" t="s">
        <v>606</v>
      </c>
      <c r="Z566" s="92" t="s">
        <v>770</v>
      </c>
      <c r="AA566" s="92" t="s">
        <v>1772</v>
      </c>
      <c r="AB566" s="92" t="s">
        <v>778</v>
      </c>
      <c r="AC566" s="92" t="s">
        <v>933</v>
      </c>
      <c r="AD566" s="92" t="s">
        <v>2395</v>
      </c>
      <c r="AE566" s="92"/>
      <c r="AF566" s="92"/>
    </row>
    <row r="567" spans="1:32" ht="12.75" customHeight="1">
      <c r="A567" s="92" t="s">
        <v>703</v>
      </c>
      <c r="B567" s="92" t="s">
        <v>64</v>
      </c>
      <c r="C567" s="92" t="s">
        <v>922</v>
      </c>
      <c r="D567" s="92"/>
      <c r="E567" s="92" t="s">
        <v>768</v>
      </c>
      <c r="F567" s="92" t="s">
        <v>768</v>
      </c>
      <c r="G567" s="156">
        <v>9906369</v>
      </c>
      <c r="H567" s="156">
        <v>1399743</v>
      </c>
      <c r="I567" s="156" t="s">
        <v>769</v>
      </c>
      <c r="J567" s="156">
        <v>12</v>
      </c>
      <c r="K567" s="156">
        <v>21</v>
      </c>
      <c r="L567" s="96">
        <v>-45000</v>
      </c>
      <c r="M567" s="100">
        <v>44384</v>
      </c>
      <c r="N567" s="100">
        <v>44536</v>
      </c>
      <c r="O567" s="100">
        <v>44385</v>
      </c>
      <c r="P567" s="92" t="s">
        <v>2017</v>
      </c>
      <c r="Q567" s="92" t="s">
        <v>1543</v>
      </c>
      <c r="R567" s="92" t="s">
        <v>2018</v>
      </c>
      <c r="S567" s="92" t="s">
        <v>2019</v>
      </c>
      <c r="T567" s="92" t="s">
        <v>1464</v>
      </c>
      <c r="U567" s="92"/>
      <c r="V567" s="92"/>
      <c r="W567" s="92"/>
      <c r="X567" s="92"/>
      <c r="Y567" s="92" t="s">
        <v>606</v>
      </c>
      <c r="Z567" s="92" t="s">
        <v>770</v>
      </c>
      <c r="AA567" s="92" t="s">
        <v>1236</v>
      </c>
      <c r="AB567" s="92" t="s">
        <v>1242</v>
      </c>
      <c r="AC567" s="92" t="s">
        <v>785</v>
      </c>
      <c r="AD567" s="92" t="s">
        <v>1465</v>
      </c>
      <c r="AE567" s="92"/>
      <c r="AF567" s="92"/>
    </row>
    <row r="568" spans="1:32" ht="12.75" customHeight="1">
      <c r="A568" s="92" t="s">
        <v>703</v>
      </c>
      <c r="B568" s="92" t="s">
        <v>64</v>
      </c>
      <c r="C568" s="92" t="s">
        <v>922</v>
      </c>
      <c r="D568" s="92"/>
      <c r="E568" s="92" t="s">
        <v>768</v>
      </c>
      <c r="F568" s="92"/>
      <c r="G568" s="156">
        <v>9972893</v>
      </c>
      <c r="H568" s="156">
        <v>1417871</v>
      </c>
      <c r="I568" s="156" t="s">
        <v>769</v>
      </c>
      <c r="J568" s="156">
        <v>12</v>
      </c>
      <c r="K568" s="156">
        <v>21</v>
      </c>
      <c r="L568" s="96">
        <v>-44999.99</v>
      </c>
      <c r="M568" s="100">
        <v>44246</v>
      </c>
      <c r="N568" s="100">
        <v>44536</v>
      </c>
      <c r="O568" s="100">
        <v>44536</v>
      </c>
      <c r="P568" s="92" t="s">
        <v>774</v>
      </c>
      <c r="Q568" s="92" t="s">
        <v>1543</v>
      </c>
      <c r="R568" s="92" t="s">
        <v>2018</v>
      </c>
      <c r="S568" s="92" t="s">
        <v>2019</v>
      </c>
      <c r="T568" s="92" t="s">
        <v>1464</v>
      </c>
      <c r="U568" s="92"/>
      <c r="V568" s="92"/>
      <c r="W568" s="92"/>
      <c r="X568" s="92"/>
      <c r="Y568" s="92" t="s">
        <v>606</v>
      </c>
      <c r="Z568" s="92" t="s">
        <v>770</v>
      </c>
      <c r="AA568" s="92" t="s">
        <v>1236</v>
      </c>
      <c r="AB568" s="92" t="s">
        <v>778</v>
      </c>
      <c r="AC568" s="92" t="s">
        <v>785</v>
      </c>
      <c r="AD568" s="92" t="s">
        <v>1465</v>
      </c>
      <c r="AE568" s="92"/>
      <c r="AF568" s="92"/>
    </row>
    <row r="569" spans="1:32" ht="12.75" customHeight="1">
      <c r="A569" s="92" t="s">
        <v>703</v>
      </c>
      <c r="B569" s="92" t="s">
        <v>64</v>
      </c>
      <c r="C569" s="92" t="s">
        <v>922</v>
      </c>
      <c r="D569" s="92"/>
      <c r="E569" s="92" t="s">
        <v>768</v>
      </c>
      <c r="F569" s="92"/>
      <c r="G569" s="156">
        <v>9972893</v>
      </c>
      <c r="H569" s="156">
        <v>1417871</v>
      </c>
      <c r="I569" s="156" t="s">
        <v>769</v>
      </c>
      <c r="J569" s="156">
        <v>12</v>
      </c>
      <c r="K569" s="156">
        <v>21</v>
      </c>
      <c r="L569" s="96">
        <v>45000</v>
      </c>
      <c r="M569" s="100">
        <v>44246</v>
      </c>
      <c r="N569" s="100">
        <v>44536</v>
      </c>
      <c r="O569" s="100">
        <v>44536</v>
      </c>
      <c r="P569" s="92" t="s">
        <v>2017</v>
      </c>
      <c r="Q569" s="92" t="s">
        <v>1543</v>
      </c>
      <c r="R569" s="92" t="s">
        <v>2018</v>
      </c>
      <c r="S569" s="92" t="s">
        <v>2019</v>
      </c>
      <c r="T569" s="92" t="s">
        <v>1464</v>
      </c>
      <c r="U569" s="92"/>
      <c r="V569" s="92"/>
      <c r="W569" s="92"/>
      <c r="X569" s="92"/>
      <c r="Y569" s="92" t="s">
        <v>606</v>
      </c>
      <c r="Z569" s="92" t="s">
        <v>770</v>
      </c>
      <c r="AA569" s="92" t="s">
        <v>1236</v>
      </c>
      <c r="AB569" s="92" t="s">
        <v>778</v>
      </c>
      <c r="AC569" s="92" t="s">
        <v>785</v>
      </c>
      <c r="AD569" s="92" t="s">
        <v>1465</v>
      </c>
      <c r="AE569" s="92"/>
      <c r="AF569" s="92"/>
    </row>
    <row r="570" spans="1:32" ht="12.75" customHeight="1">
      <c r="A570" s="92" t="s">
        <v>703</v>
      </c>
      <c r="B570" s="92" t="s">
        <v>64</v>
      </c>
      <c r="C570" s="92" t="s">
        <v>922</v>
      </c>
      <c r="D570" s="92"/>
      <c r="E570" s="92" t="s">
        <v>49</v>
      </c>
      <c r="F570" s="92"/>
      <c r="G570" s="156">
        <v>9967782</v>
      </c>
      <c r="H570" s="156">
        <v>18845438</v>
      </c>
      <c r="I570" s="156" t="s">
        <v>772</v>
      </c>
      <c r="J570" s="156">
        <v>12</v>
      </c>
      <c r="K570" s="156">
        <v>21</v>
      </c>
      <c r="L570" s="96">
        <v>-35000</v>
      </c>
      <c r="M570" s="100">
        <v>44561</v>
      </c>
      <c r="N570" s="100">
        <v>44561</v>
      </c>
      <c r="O570" s="100">
        <v>44524</v>
      </c>
      <c r="P570" s="92" t="s">
        <v>2676</v>
      </c>
      <c r="Q570" s="92" t="s">
        <v>2677</v>
      </c>
      <c r="R570" s="92"/>
      <c r="S570" s="92">
        <v>0</v>
      </c>
      <c r="T570" s="92" t="s">
        <v>2678</v>
      </c>
      <c r="U570" s="92"/>
      <c r="V570" s="92"/>
      <c r="W570" s="92" t="s">
        <v>773</v>
      </c>
      <c r="X570" s="92"/>
      <c r="Y570" s="92" t="s">
        <v>606</v>
      </c>
      <c r="Z570" s="92" t="s">
        <v>770</v>
      </c>
      <c r="AA570" s="92" t="s">
        <v>1299</v>
      </c>
      <c r="AB570" s="92" t="s">
        <v>778</v>
      </c>
      <c r="AC570" s="92" t="s">
        <v>785</v>
      </c>
      <c r="AD570" s="92" t="s">
        <v>2529</v>
      </c>
      <c r="AE570" s="92"/>
      <c r="AF570" s="92"/>
    </row>
    <row r="571" spans="1:32" ht="12.75" customHeight="1">
      <c r="A571" s="92" t="s">
        <v>703</v>
      </c>
      <c r="B571" s="92" t="s">
        <v>1104</v>
      </c>
      <c r="C571" s="92" t="s">
        <v>922</v>
      </c>
      <c r="D571" s="92"/>
      <c r="E571" s="92" t="s">
        <v>49</v>
      </c>
      <c r="F571" s="92"/>
      <c r="G571" s="156">
        <v>9964416</v>
      </c>
      <c r="H571" s="156">
        <v>18809681</v>
      </c>
      <c r="I571" s="156" t="s">
        <v>772</v>
      </c>
      <c r="J571" s="156">
        <v>12</v>
      </c>
      <c r="K571" s="156">
        <v>21</v>
      </c>
      <c r="L571" s="96">
        <v>-900000</v>
      </c>
      <c r="M571" s="100">
        <v>44561</v>
      </c>
      <c r="N571" s="100">
        <v>44561</v>
      </c>
      <c r="O571" s="100">
        <v>44516</v>
      </c>
      <c r="P571" s="92" t="s">
        <v>2679</v>
      </c>
      <c r="Q571" s="92" t="s">
        <v>2680</v>
      </c>
      <c r="R571" s="92"/>
      <c r="S571" s="92">
        <v>0</v>
      </c>
      <c r="T571" s="92" t="s">
        <v>2681</v>
      </c>
      <c r="U571" s="92"/>
      <c r="V571" s="92"/>
      <c r="W571" s="92"/>
      <c r="X571" s="92"/>
      <c r="Y571" s="92" t="s">
        <v>606</v>
      </c>
      <c r="Z571" s="92" t="s">
        <v>770</v>
      </c>
      <c r="AA571" s="92" t="s">
        <v>1289</v>
      </c>
      <c r="AB571" s="92" t="s">
        <v>778</v>
      </c>
      <c r="AC571" s="92" t="s">
        <v>1105</v>
      </c>
      <c r="AD571" s="92" t="s">
        <v>2535</v>
      </c>
      <c r="AE571" s="92"/>
      <c r="AF571" s="92"/>
    </row>
    <row r="572" spans="1:32" ht="12.75" customHeight="1">
      <c r="A572" s="92" t="s">
        <v>703</v>
      </c>
      <c r="B572" s="92" t="s">
        <v>1104</v>
      </c>
      <c r="C572" s="92" t="s">
        <v>922</v>
      </c>
      <c r="D572" s="92"/>
      <c r="E572" s="92" t="s">
        <v>49</v>
      </c>
      <c r="F572" s="92"/>
      <c r="G572" s="156">
        <v>9964612</v>
      </c>
      <c r="H572" s="156">
        <v>18809740</v>
      </c>
      <c r="I572" s="156" t="s">
        <v>772</v>
      </c>
      <c r="J572" s="156">
        <v>12</v>
      </c>
      <c r="K572" s="156">
        <v>21</v>
      </c>
      <c r="L572" s="96">
        <v>-373270.24</v>
      </c>
      <c r="M572" s="100">
        <v>44561</v>
      </c>
      <c r="N572" s="100">
        <v>44561</v>
      </c>
      <c r="O572" s="100">
        <v>44517</v>
      </c>
      <c r="P572" s="92" t="s">
        <v>2682</v>
      </c>
      <c r="Q572" s="92" t="s">
        <v>2683</v>
      </c>
      <c r="R572" s="92"/>
      <c r="S572" s="92">
        <v>0</v>
      </c>
      <c r="T572" s="92" t="s">
        <v>1906</v>
      </c>
      <c r="U572" s="92"/>
      <c r="V572" s="92"/>
      <c r="W572" s="92"/>
      <c r="X572" s="92"/>
      <c r="Y572" s="92" t="s">
        <v>606</v>
      </c>
      <c r="Z572" s="92" t="s">
        <v>770</v>
      </c>
      <c r="AA572" s="92" t="s">
        <v>1289</v>
      </c>
      <c r="AB572" s="92" t="s">
        <v>778</v>
      </c>
      <c r="AC572" s="92" t="s">
        <v>1105</v>
      </c>
      <c r="AD572" s="92" t="s">
        <v>2684</v>
      </c>
      <c r="AE572" s="92"/>
      <c r="AF572" s="92"/>
    </row>
    <row r="573" spans="1:32" ht="12.75" customHeight="1">
      <c r="A573" s="92" t="s">
        <v>846</v>
      </c>
      <c r="B573" s="92" t="s">
        <v>47</v>
      </c>
      <c r="C573" s="92" t="s">
        <v>922</v>
      </c>
      <c r="D573" s="92"/>
      <c r="E573" s="92" t="s">
        <v>49</v>
      </c>
      <c r="F573" s="92"/>
      <c r="G573" s="156">
        <v>9968980</v>
      </c>
      <c r="H573" s="156">
        <v>18848232</v>
      </c>
      <c r="I573" s="156" t="s">
        <v>772</v>
      </c>
      <c r="J573" s="156">
        <v>12</v>
      </c>
      <c r="K573" s="156">
        <v>21</v>
      </c>
      <c r="L573" s="96">
        <v>109750</v>
      </c>
      <c r="M573" s="100">
        <v>44530</v>
      </c>
      <c r="N573" s="100">
        <v>44561</v>
      </c>
      <c r="O573" s="100">
        <v>44530</v>
      </c>
      <c r="P573" s="92" t="s">
        <v>2685</v>
      </c>
      <c r="Q573" s="92" t="s">
        <v>2686</v>
      </c>
      <c r="R573" s="92"/>
      <c r="S573" s="92">
        <v>0</v>
      </c>
      <c r="T573" s="92" t="s">
        <v>2687</v>
      </c>
      <c r="U573" s="92"/>
      <c r="V573" s="92"/>
      <c r="W573" s="92"/>
      <c r="X573" s="92"/>
      <c r="Y573" s="92" t="s">
        <v>606</v>
      </c>
      <c r="Z573" s="92" t="s">
        <v>770</v>
      </c>
      <c r="AA573" s="92" t="s">
        <v>2665</v>
      </c>
      <c r="AB573" s="92" t="s">
        <v>1253</v>
      </c>
      <c r="AC573" s="92" t="s">
        <v>789</v>
      </c>
      <c r="AD573" s="92" t="s">
        <v>1178</v>
      </c>
      <c r="AE573" s="92"/>
      <c r="AF573" s="92"/>
    </row>
    <row r="574" spans="1:32" ht="12.75" customHeight="1">
      <c r="A574" s="92" t="s">
        <v>846</v>
      </c>
      <c r="B574" s="92" t="s">
        <v>609</v>
      </c>
      <c r="C574" s="92" t="s">
        <v>922</v>
      </c>
      <c r="D574" s="92"/>
      <c r="E574" s="92" t="s">
        <v>768</v>
      </c>
      <c r="F574" s="92"/>
      <c r="G574" s="156">
        <v>9971632</v>
      </c>
      <c r="H574" s="156">
        <v>1416635</v>
      </c>
      <c r="I574" s="156" t="s">
        <v>769</v>
      </c>
      <c r="J574" s="156">
        <v>12</v>
      </c>
      <c r="K574" s="156">
        <v>21</v>
      </c>
      <c r="L574" s="96">
        <v>150000</v>
      </c>
      <c r="M574" s="100">
        <v>44417</v>
      </c>
      <c r="N574" s="100">
        <v>44536</v>
      </c>
      <c r="O574" s="100">
        <v>44536</v>
      </c>
      <c r="P574" s="92" t="s">
        <v>2767</v>
      </c>
      <c r="Q574" s="92" t="s">
        <v>2768</v>
      </c>
      <c r="R574" s="92" t="s">
        <v>2769</v>
      </c>
      <c r="S574" s="92" t="s">
        <v>2770</v>
      </c>
      <c r="T574" s="92" t="s">
        <v>2771</v>
      </c>
      <c r="U574" s="92"/>
      <c r="V574" s="92"/>
      <c r="W574" s="92"/>
      <c r="X574" s="92"/>
      <c r="Y574" s="92" t="s">
        <v>606</v>
      </c>
      <c r="Z574" s="92" t="s">
        <v>770</v>
      </c>
      <c r="AA574" s="92" t="s">
        <v>1236</v>
      </c>
      <c r="AB574" s="92" t="s">
        <v>778</v>
      </c>
      <c r="AC574" s="92" t="s">
        <v>788</v>
      </c>
      <c r="AD574" s="92" t="s">
        <v>2248</v>
      </c>
      <c r="AE574" s="92"/>
      <c r="AF574" s="92"/>
    </row>
    <row r="575" spans="1:32" ht="12.75" customHeight="1">
      <c r="A575" s="92" t="s">
        <v>892</v>
      </c>
      <c r="B575" s="92" t="s">
        <v>50</v>
      </c>
      <c r="C575" s="92" t="s">
        <v>922</v>
      </c>
      <c r="D575" s="92"/>
      <c r="E575" s="92" t="s">
        <v>49</v>
      </c>
      <c r="F575" s="92"/>
      <c r="G575" s="156">
        <v>9967803</v>
      </c>
      <c r="H575" s="156">
        <v>18845444</v>
      </c>
      <c r="I575" s="156" t="s">
        <v>772</v>
      </c>
      <c r="J575" s="156">
        <v>12</v>
      </c>
      <c r="K575" s="156">
        <v>21</v>
      </c>
      <c r="L575" s="96">
        <v>-60000</v>
      </c>
      <c r="M575" s="100">
        <v>44531</v>
      </c>
      <c r="N575" s="100">
        <v>44531</v>
      </c>
      <c r="O575" s="100">
        <v>44524</v>
      </c>
      <c r="P575" s="92" t="s">
        <v>2688</v>
      </c>
      <c r="Q575" s="92" t="s">
        <v>2593</v>
      </c>
      <c r="R575" s="92"/>
      <c r="S575" s="92">
        <v>0</v>
      </c>
      <c r="T575" s="92" t="s">
        <v>2689</v>
      </c>
      <c r="U575" s="92"/>
      <c r="V575" s="92"/>
      <c r="W575" s="92" t="s">
        <v>773</v>
      </c>
      <c r="X575" s="92"/>
      <c r="Y575" s="92" t="s">
        <v>606</v>
      </c>
      <c r="Z575" s="92" t="s">
        <v>770</v>
      </c>
      <c r="AA575" s="92" t="s">
        <v>2254</v>
      </c>
      <c r="AB575" s="92" t="s">
        <v>1305</v>
      </c>
      <c r="AC575" s="92" t="s">
        <v>925</v>
      </c>
      <c r="AD575" s="92" t="s">
        <v>2516</v>
      </c>
      <c r="AE575" s="92"/>
      <c r="AF575" s="92"/>
    </row>
    <row r="576" spans="1:32" ht="12.75" customHeight="1">
      <c r="A576" s="92" t="s">
        <v>892</v>
      </c>
      <c r="B576" s="92" t="s">
        <v>50</v>
      </c>
      <c r="C576" s="92" t="s">
        <v>922</v>
      </c>
      <c r="D576" s="92"/>
      <c r="E576" s="92" t="s">
        <v>49</v>
      </c>
      <c r="F576" s="92"/>
      <c r="G576" s="156">
        <v>9967803</v>
      </c>
      <c r="H576" s="156">
        <v>18845444</v>
      </c>
      <c r="I576" s="156" t="s">
        <v>772</v>
      </c>
      <c r="J576" s="156">
        <v>12</v>
      </c>
      <c r="K576" s="156">
        <v>21</v>
      </c>
      <c r="L576" s="96">
        <v>-225000</v>
      </c>
      <c r="M576" s="100">
        <v>44531</v>
      </c>
      <c r="N576" s="100">
        <v>44531</v>
      </c>
      <c r="O576" s="100">
        <v>44524</v>
      </c>
      <c r="P576" s="92" t="s">
        <v>2690</v>
      </c>
      <c r="Q576" s="92" t="s">
        <v>2593</v>
      </c>
      <c r="R576" s="92"/>
      <c r="S576" s="92">
        <v>0</v>
      </c>
      <c r="T576" s="92" t="s">
        <v>2691</v>
      </c>
      <c r="U576" s="92"/>
      <c r="V576" s="92"/>
      <c r="W576" s="92" t="s">
        <v>773</v>
      </c>
      <c r="X576" s="92"/>
      <c r="Y576" s="92" t="s">
        <v>606</v>
      </c>
      <c r="Z576" s="92" t="s">
        <v>770</v>
      </c>
      <c r="AA576" s="92" t="s">
        <v>2254</v>
      </c>
      <c r="AB576" s="92" t="s">
        <v>1305</v>
      </c>
      <c r="AC576" s="92" t="s">
        <v>925</v>
      </c>
      <c r="AD576" s="92" t="s">
        <v>2517</v>
      </c>
      <c r="AE576" s="92"/>
      <c r="AF576" s="92"/>
    </row>
    <row r="577" spans="1:32" ht="12.75" customHeight="1">
      <c r="A577" s="92" t="s">
        <v>892</v>
      </c>
      <c r="B577" s="92" t="s">
        <v>50</v>
      </c>
      <c r="C577" s="92" t="s">
        <v>922</v>
      </c>
      <c r="D577" s="92"/>
      <c r="E577" s="92" t="s">
        <v>49</v>
      </c>
      <c r="F577" s="92"/>
      <c r="G577" s="156">
        <v>9969232</v>
      </c>
      <c r="H577" s="156">
        <v>18848306</v>
      </c>
      <c r="I577" s="156" t="s">
        <v>772</v>
      </c>
      <c r="J577" s="156">
        <v>12</v>
      </c>
      <c r="K577" s="156">
        <v>21</v>
      </c>
      <c r="L577" s="96">
        <v>-937475.46</v>
      </c>
      <c r="M577" s="100">
        <v>44531</v>
      </c>
      <c r="N577" s="100">
        <v>44531</v>
      </c>
      <c r="O577" s="100">
        <v>44531</v>
      </c>
      <c r="P577" s="92" t="s">
        <v>2742</v>
      </c>
      <c r="Q577" s="92" t="s">
        <v>2743</v>
      </c>
      <c r="R577" s="92"/>
      <c r="S577" s="92">
        <v>0</v>
      </c>
      <c r="T577" s="92" t="s">
        <v>2602</v>
      </c>
      <c r="U577" s="92"/>
      <c r="V577" s="92"/>
      <c r="W577" s="92" t="s">
        <v>1251</v>
      </c>
      <c r="X577" s="92"/>
      <c r="Y577" s="92" t="s">
        <v>606</v>
      </c>
      <c r="Z577" s="92" t="s">
        <v>770</v>
      </c>
      <c r="AA577" s="92" t="s">
        <v>2254</v>
      </c>
      <c r="AB577" s="92" t="s">
        <v>778</v>
      </c>
      <c r="AC577" s="92" t="s">
        <v>925</v>
      </c>
      <c r="AD577" s="92" t="s">
        <v>2398</v>
      </c>
      <c r="AE577" s="92"/>
      <c r="AF577" s="92"/>
    </row>
    <row r="578" spans="1:32" ht="12.75" customHeight="1">
      <c r="A578" s="92" t="s">
        <v>892</v>
      </c>
      <c r="B578" s="92" t="s">
        <v>50</v>
      </c>
      <c r="C578" s="92" t="s">
        <v>922</v>
      </c>
      <c r="D578" s="92"/>
      <c r="E578" s="92" t="s">
        <v>768</v>
      </c>
      <c r="F578" s="92"/>
      <c r="G578" s="156">
        <v>9976793</v>
      </c>
      <c r="H578" s="156">
        <v>1418794</v>
      </c>
      <c r="I578" s="156" t="s">
        <v>769</v>
      </c>
      <c r="J578" s="156">
        <v>12</v>
      </c>
      <c r="K578" s="156">
        <v>21</v>
      </c>
      <c r="L578" s="96">
        <v>284340</v>
      </c>
      <c r="M578" s="100">
        <v>44505</v>
      </c>
      <c r="N578" s="100">
        <v>44545</v>
      </c>
      <c r="O578" s="100">
        <v>44545</v>
      </c>
      <c r="P578" s="92" t="s">
        <v>2797</v>
      </c>
      <c r="Q578" s="92" t="s">
        <v>2798</v>
      </c>
      <c r="R578" s="92" t="s">
        <v>2799</v>
      </c>
      <c r="S578" s="92" t="s">
        <v>2800</v>
      </c>
      <c r="T578" s="92" t="s">
        <v>2801</v>
      </c>
      <c r="U578" s="92"/>
      <c r="V578" s="92"/>
      <c r="W578" s="92"/>
      <c r="X578" s="92"/>
      <c r="Y578" s="92" t="s">
        <v>606</v>
      </c>
      <c r="Z578" s="92" t="s">
        <v>770</v>
      </c>
      <c r="AA578" s="92" t="s">
        <v>1236</v>
      </c>
      <c r="AB578" s="92" t="s">
        <v>778</v>
      </c>
      <c r="AC578" s="92" t="s">
        <v>925</v>
      </c>
      <c r="AD578" s="92" t="s">
        <v>2257</v>
      </c>
      <c r="AE578" s="92"/>
      <c r="AF578" s="92"/>
    </row>
    <row r="579" spans="1:32" ht="12.75" customHeight="1">
      <c r="A579" s="92" t="s">
        <v>892</v>
      </c>
      <c r="B579" s="92" t="s">
        <v>50</v>
      </c>
      <c r="C579" s="92" t="s">
        <v>922</v>
      </c>
      <c r="D579" s="92"/>
      <c r="E579" s="92" t="s">
        <v>768</v>
      </c>
      <c r="F579" s="92"/>
      <c r="G579" s="156">
        <v>9976818</v>
      </c>
      <c r="H579" s="156">
        <v>1418818</v>
      </c>
      <c r="I579" s="156" t="s">
        <v>769</v>
      </c>
      <c r="J579" s="156">
        <v>12</v>
      </c>
      <c r="K579" s="156">
        <v>21</v>
      </c>
      <c r="L579" s="96">
        <v>189560</v>
      </c>
      <c r="M579" s="100">
        <v>44530</v>
      </c>
      <c r="N579" s="100">
        <v>44545</v>
      </c>
      <c r="O579" s="100">
        <v>44545</v>
      </c>
      <c r="P579" s="92" t="s">
        <v>2797</v>
      </c>
      <c r="Q579" s="92" t="s">
        <v>2798</v>
      </c>
      <c r="R579" s="92" t="s">
        <v>2802</v>
      </c>
      <c r="S579" s="92" t="s">
        <v>2800</v>
      </c>
      <c r="T579" s="92" t="s">
        <v>2801</v>
      </c>
      <c r="U579" s="92"/>
      <c r="V579" s="92"/>
      <c r="W579" s="92"/>
      <c r="X579" s="92"/>
      <c r="Y579" s="92" t="s">
        <v>606</v>
      </c>
      <c r="Z579" s="92" t="s">
        <v>770</v>
      </c>
      <c r="AA579" s="92" t="s">
        <v>1236</v>
      </c>
      <c r="AB579" s="92" t="s">
        <v>778</v>
      </c>
      <c r="AC579" s="92" t="s">
        <v>925</v>
      </c>
      <c r="AD579" s="92" t="s">
        <v>2257</v>
      </c>
      <c r="AE579" s="92"/>
      <c r="AF579" s="92"/>
    </row>
    <row r="580" spans="1:32" ht="12.75" customHeight="1">
      <c r="A580" s="92" t="s">
        <v>892</v>
      </c>
      <c r="B580" s="92" t="s">
        <v>50</v>
      </c>
      <c r="C580" s="92" t="s">
        <v>922</v>
      </c>
      <c r="D580" s="92"/>
      <c r="E580" s="92" t="s">
        <v>49</v>
      </c>
      <c r="F580" s="92"/>
      <c r="G580" s="156">
        <v>9966402</v>
      </c>
      <c r="H580" s="156">
        <v>18844810</v>
      </c>
      <c r="I580" s="156" t="s">
        <v>772</v>
      </c>
      <c r="J580" s="156">
        <v>12</v>
      </c>
      <c r="K580" s="156">
        <v>21</v>
      </c>
      <c r="L580" s="96">
        <v>-300000</v>
      </c>
      <c r="M580" s="100">
        <v>44561</v>
      </c>
      <c r="N580" s="100">
        <v>44561</v>
      </c>
      <c r="O580" s="100">
        <v>44519</v>
      </c>
      <c r="P580" s="92" t="s">
        <v>2692</v>
      </c>
      <c r="Q580" s="92" t="s">
        <v>2693</v>
      </c>
      <c r="R580" s="92"/>
      <c r="S580" s="92">
        <v>0</v>
      </c>
      <c r="T580" s="92" t="s">
        <v>2694</v>
      </c>
      <c r="U580" s="92"/>
      <c r="V580" s="92"/>
      <c r="W580" s="92" t="s">
        <v>773</v>
      </c>
      <c r="X580" s="92"/>
      <c r="Y580" s="92" t="s">
        <v>606</v>
      </c>
      <c r="Z580" s="92" t="s">
        <v>770</v>
      </c>
      <c r="AA580" s="92" t="s">
        <v>2254</v>
      </c>
      <c r="AB580" s="92" t="s">
        <v>778</v>
      </c>
      <c r="AC580" s="92" t="s">
        <v>925</v>
      </c>
      <c r="AD580" s="92" t="s">
        <v>2518</v>
      </c>
      <c r="AE580" s="92"/>
      <c r="AF580" s="92"/>
    </row>
    <row r="581" spans="1:32" ht="12.75" customHeight="1">
      <c r="A581" s="92" t="s">
        <v>892</v>
      </c>
      <c r="B581" s="92" t="s">
        <v>1001</v>
      </c>
      <c r="C581" s="92" t="s">
        <v>922</v>
      </c>
      <c r="D581" s="92"/>
      <c r="E581" s="92" t="s">
        <v>768</v>
      </c>
      <c r="F581" s="92" t="s">
        <v>768</v>
      </c>
      <c r="G581" s="156">
        <v>9971013</v>
      </c>
      <c r="H581" s="156">
        <v>1416025</v>
      </c>
      <c r="I581" s="156" t="s">
        <v>769</v>
      </c>
      <c r="J581" s="156">
        <v>12</v>
      </c>
      <c r="K581" s="156">
        <v>21</v>
      </c>
      <c r="L581" s="96">
        <v>-4999.99</v>
      </c>
      <c r="M581" s="100">
        <v>44531</v>
      </c>
      <c r="N581" s="100">
        <v>44536</v>
      </c>
      <c r="O581" s="100">
        <v>44536</v>
      </c>
      <c r="P581" s="92" t="s">
        <v>926</v>
      </c>
      <c r="Q581" s="92" t="s">
        <v>635</v>
      </c>
      <c r="R581" s="92" t="s">
        <v>2772</v>
      </c>
      <c r="S581" s="92" t="s">
        <v>1153</v>
      </c>
      <c r="T581" s="92" t="s">
        <v>2773</v>
      </c>
      <c r="U581" s="92"/>
      <c r="V581" s="92"/>
      <c r="W581" s="92"/>
      <c r="X581" s="92"/>
      <c r="Y581" s="92" t="s">
        <v>606</v>
      </c>
      <c r="Z581" s="92" t="s">
        <v>770</v>
      </c>
      <c r="AA581" s="92" t="s">
        <v>1236</v>
      </c>
      <c r="AB581" s="92" t="s">
        <v>778</v>
      </c>
      <c r="AC581" s="92" t="s">
        <v>1002</v>
      </c>
      <c r="AD581" s="92" t="s">
        <v>1118</v>
      </c>
      <c r="AE581" s="92"/>
      <c r="AF581" s="92"/>
    </row>
    <row r="582" spans="1:32" ht="12.75" customHeight="1">
      <c r="A582" s="92" t="s">
        <v>892</v>
      </c>
      <c r="B582" s="92" t="s">
        <v>1001</v>
      </c>
      <c r="C582" s="92" t="s">
        <v>922</v>
      </c>
      <c r="D582" s="92"/>
      <c r="E582" s="92" t="s">
        <v>768</v>
      </c>
      <c r="F582" s="92" t="s">
        <v>768</v>
      </c>
      <c r="G582" s="156">
        <v>9971013</v>
      </c>
      <c r="H582" s="156">
        <v>1416025</v>
      </c>
      <c r="I582" s="156" t="s">
        <v>769</v>
      </c>
      <c r="J582" s="156">
        <v>12</v>
      </c>
      <c r="K582" s="156">
        <v>21</v>
      </c>
      <c r="L582" s="96">
        <v>5000</v>
      </c>
      <c r="M582" s="100">
        <v>44531</v>
      </c>
      <c r="N582" s="100">
        <v>44536</v>
      </c>
      <c r="O582" s="100">
        <v>44536</v>
      </c>
      <c r="P582" s="92" t="s">
        <v>2774</v>
      </c>
      <c r="Q582" s="92" t="s">
        <v>635</v>
      </c>
      <c r="R582" s="92" t="s">
        <v>2772</v>
      </c>
      <c r="S582" s="92" t="s">
        <v>1153</v>
      </c>
      <c r="T582" s="92" t="s">
        <v>2773</v>
      </c>
      <c r="U582" s="92"/>
      <c r="V582" s="92"/>
      <c r="W582" s="92"/>
      <c r="X582" s="92"/>
      <c r="Y582" s="92" t="s">
        <v>606</v>
      </c>
      <c r="Z582" s="92" t="s">
        <v>770</v>
      </c>
      <c r="AA582" s="92" t="s">
        <v>1236</v>
      </c>
      <c r="AB582" s="92" t="s">
        <v>778</v>
      </c>
      <c r="AC582" s="92" t="s">
        <v>1002</v>
      </c>
      <c r="AD582" s="92" t="s">
        <v>1118</v>
      </c>
      <c r="AE582" s="92"/>
      <c r="AF582" s="92"/>
    </row>
    <row r="583" spans="1:32" ht="12.75" customHeight="1">
      <c r="A583" s="92" t="s">
        <v>892</v>
      </c>
      <c r="B583" s="92" t="s">
        <v>1001</v>
      </c>
      <c r="C583" s="92" t="s">
        <v>922</v>
      </c>
      <c r="D583" s="92"/>
      <c r="E583" s="92" t="s">
        <v>768</v>
      </c>
      <c r="F583" s="92"/>
      <c r="G583" s="156">
        <v>9972307</v>
      </c>
      <c r="H583" s="156">
        <v>1417308</v>
      </c>
      <c r="I583" s="156" t="s">
        <v>769</v>
      </c>
      <c r="J583" s="156">
        <v>12</v>
      </c>
      <c r="K583" s="156">
        <v>21</v>
      </c>
      <c r="L583" s="96">
        <v>177150</v>
      </c>
      <c r="M583" s="100">
        <v>44314</v>
      </c>
      <c r="N583" s="100">
        <v>44536</v>
      </c>
      <c r="O583" s="100">
        <v>44536</v>
      </c>
      <c r="P583" s="92" t="s">
        <v>2775</v>
      </c>
      <c r="Q583" s="92" t="s">
        <v>607</v>
      </c>
      <c r="R583" s="92" t="s">
        <v>2776</v>
      </c>
      <c r="S583" s="92" t="s">
        <v>791</v>
      </c>
      <c r="T583" s="92" t="s">
        <v>1816</v>
      </c>
      <c r="U583" s="92"/>
      <c r="V583" s="92"/>
      <c r="W583" s="92"/>
      <c r="X583" s="92"/>
      <c r="Y583" s="92" t="s">
        <v>606</v>
      </c>
      <c r="Z583" s="92" t="s">
        <v>770</v>
      </c>
      <c r="AA583" s="92" t="s">
        <v>1236</v>
      </c>
      <c r="AB583" s="92" t="s">
        <v>778</v>
      </c>
      <c r="AC583" s="92" t="s">
        <v>1002</v>
      </c>
      <c r="AD583" s="92" t="s">
        <v>1817</v>
      </c>
      <c r="AE583" s="92"/>
      <c r="AF583" s="92"/>
    </row>
    <row r="584" spans="1:32" ht="12.75" customHeight="1">
      <c r="A584" s="92" t="s">
        <v>892</v>
      </c>
      <c r="B584" s="92" t="s">
        <v>1001</v>
      </c>
      <c r="C584" s="92" t="s">
        <v>922</v>
      </c>
      <c r="D584" s="92"/>
      <c r="E584" s="92" t="s">
        <v>768</v>
      </c>
      <c r="F584" s="92" t="s">
        <v>768</v>
      </c>
      <c r="G584" s="156">
        <v>9971013</v>
      </c>
      <c r="H584" s="156">
        <v>1416025</v>
      </c>
      <c r="I584" s="156" t="s">
        <v>769</v>
      </c>
      <c r="J584" s="156">
        <v>12</v>
      </c>
      <c r="K584" s="156">
        <v>21</v>
      </c>
      <c r="L584" s="96">
        <v>4999.99</v>
      </c>
      <c r="M584" s="100">
        <v>44531</v>
      </c>
      <c r="N584" s="100">
        <v>44539</v>
      </c>
      <c r="O584" s="100">
        <v>44536</v>
      </c>
      <c r="P584" s="92" t="s">
        <v>926</v>
      </c>
      <c r="Q584" s="92" t="s">
        <v>635</v>
      </c>
      <c r="R584" s="92" t="s">
        <v>2772</v>
      </c>
      <c r="S584" s="92" t="s">
        <v>1153</v>
      </c>
      <c r="T584" s="92" t="s">
        <v>2773</v>
      </c>
      <c r="U584" s="92"/>
      <c r="V584" s="92"/>
      <c r="W584" s="92"/>
      <c r="X584" s="92"/>
      <c r="Y584" s="92" t="s">
        <v>606</v>
      </c>
      <c r="Z584" s="92" t="s">
        <v>770</v>
      </c>
      <c r="AA584" s="92" t="s">
        <v>1236</v>
      </c>
      <c r="AB584" s="92" t="s">
        <v>1433</v>
      </c>
      <c r="AC584" s="92" t="s">
        <v>1002</v>
      </c>
      <c r="AD584" s="92" t="s">
        <v>1118</v>
      </c>
      <c r="AE584" s="92"/>
      <c r="AF584" s="92"/>
    </row>
    <row r="585" spans="1:32" ht="12.75" customHeight="1">
      <c r="A585" s="92" t="s">
        <v>892</v>
      </c>
      <c r="B585" s="92" t="s">
        <v>1001</v>
      </c>
      <c r="C585" s="92" t="s">
        <v>922</v>
      </c>
      <c r="D585" s="92"/>
      <c r="E585" s="92" t="s">
        <v>768</v>
      </c>
      <c r="F585" s="92" t="s">
        <v>768</v>
      </c>
      <c r="G585" s="156">
        <v>9971013</v>
      </c>
      <c r="H585" s="156">
        <v>1416025</v>
      </c>
      <c r="I585" s="156" t="s">
        <v>769</v>
      </c>
      <c r="J585" s="156">
        <v>12</v>
      </c>
      <c r="K585" s="156">
        <v>21</v>
      </c>
      <c r="L585" s="96">
        <v>-5000</v>
      </c>
      <c r="M585" s="100">
        <v>44531</v>
      </c>
      <c r="N585" s="100">
        <v>44539</v>
      </c>
      <c r="O585" s="100">
        <v>44536</v>
      </c>
      <c r="P585" s="92" t="s">
        <v>2774</v>
      </c>
      <c r="Q585" s="92" t="s">
        <v>635</v>
      </c>
      <c r="R585" s="92" t="s">
        <v>2772</v>
      </c>
      <c r="S585" s="92" t="s">
        <v>1153</v>
      </c>
      <c r="T585" s="92" t="s">
        <v>2773</v>
      </c>
      <c r="U585" s="92"/>
      <c r="V585" s="92"/>
      <c r="W585" s="92"/>
      <c r="X585" s="92"/>
      <c r="Y585" s="92" t="s">
        <v>606</v>
      </c>
      <c r="Z585" s="92" t="s">
        <v>770</v>
      </c>
      <c r="AA585" s="92" t="s">
        <v>1236</v>
      </c>
      <c r="AB585" s="92" t="s">
        <v>1433</v>
      </c>
      <c r="AC585" s="92" t="s">
        <v>1002</v>
      </c>
      <c r="AD585" s="92" t="s">
        <v>1118</v>
      </c>
      <c r="AE585" s="92"/>
      <c r="AF585" s="92"/>
    </row>
    <row r="586" spans="1:32" ht="12.75" customHeight="1">
      <c r="A586" s="92" t="s">
        <v>892</v>
      </c>
      <c r="B586" s="92" t="s">
        <v>1001</v>
      </c>
      <c r="C586" s="92" t="s">
        <v>922</v>
      </c>
      <c r="D586" s="92"/>
      <c r="E586" s="92" t="s">
        <v>49</v>
      </c>
      <c r="F586" s="92" t="s">
        <v>768</v>
      </c>
      <c r="G586" s="156">
        <v>9965702</v>
      </c>
      <c r="H586" s="156">
        <v>18840085</v>
      </c>
      <c r="I586" s="156" t="s">
        <v>772</v>
      </c>
      <c r="J586" s="156">
        <v>12</v>
      </c>
      <c r="K586" s="156">
        <v>21</v>
      </c>
      <c r="L586" s="96">
        <v>-177150</v>
      </c>
      <c r="M586" s="100">
        <v>44561</v>
      </c>
      <c r="N586" s="100">
        <v>44561</v>
      </c>
      <c r="O586" s="100">
        <v>44518</v>
      </c>
      <c r="P586" s="92" t="s">
        <v>2695</v>
      </c>
      <c r="Q586" s="92" t="s">
        <v>2696</v>
      </c>
      <c r="R586" s="92"/>
      <c r="S586" s="92">
        <v>0</v>
      </c>
      <c r="T586" s="92" t="s">
        <v>1816</v>
      </c>
      <c r="U586" s="92"/>
      <c r="V586" s="92"/>
      <c r="W586" s="92"/>
      <c r="X586" s="92"/>
      <c r="Y586" s="92" t="s">
        <v>606</v>
      </c>
      <c r="Z586" s="92" t="s">
        <v>770</v>
      </c>
      <c r="AA586" s="92" t="s">
        <v>2272</v>
      </c>
      <c r="AB586" s="92" t="s">
        <v>778</v>
      </c>
      <c r="AC586" s="92" t="s">
        <v>1002</v>
      </c>
      <c r="AD586" s="92" t="s">
        <v>1817</v>
      </c>
      <c r="AE586" s="92"/>
      <c r="AF586" s="92"/>
    </row>
    <row r="587" spans="1:32" ht="12.75" customHeight="1">
      <c r="A587" s="92" t="s">
        <v>892</v>
      </c>
      <c r="B587" s="92" t="s">
        <v>1001</v>
      </c>
      <c r="C587" s="92" t="s">
        <v>922</v>
      </c>
      <c r="D587" s="92"/>
      <c r="E587" s="92" t="s">
        <v>49</v>
      </c>
      <c r="F587" s="92" t="s">
        <v>768</v>
      </c>
      <c r="G587" s="156">
        <v>9965702</v>
      </c>
      <c r="H587" s="156">
        <v>18840085</v>
      </c>
      <c r="I587" s="156" t="s">
        <v>772</v>
      </c>
      <c r="J587" s="156">
        <v>12</v>
      </c>
      <c r="K587" s="156">
        <v>21</v>
      </c>
      <c r="L587" s="96">
        <v>177150</v>
      </c>
      <c r="M587" s="100">
        <v>44561</v>
      </c>
      <c r="N587" s="100">
        <v>44561</v>
      </c>
      <c r="O587" s="100">
        <v>44518</v>
      </c>
      <c r="P587" s="92" t="s">
        <v>2695</v>
      </c>
      <c r="Q587" s="92" t="s">
        <v>2696</v>
      </c>
      <c r="R587" s="92"/>
      <c r="S587" s="92">
        <v>0</v>
      </c>
      <c r="T587" s="92" t="s">
        <v>1816</v>
      </c>
      <c r="U587" s="92"/>
      <c r="V587" s="92"/>
      <c r="W587" s="92"/>
      <c r="X587" s="92"/>
      <c r="Y587" s="92" t="s">
        <v>606</v>
      </c>
      <c r="Z587" s="92" t="s">
        <v>770</v>
      </c>
      <c r="AA587" s="92" t="s">
        <v>2272</v>
      </c>
      <c r="AB587" s="92" t="s">
        <v>778</v>
      </c>
      <c r="AC587" s="92" t="s">
        <v>1002</v>
      </c>
      <c r="AD587" s="92" t="s">
        <v>1817</v>
      </c>
      <c r="AE587" s="92"/>
      <c r="AF587" s="92"/>
    </row>
    <row r="588" spans="1:32" ht="12.75" customHeight="1">
      <c r="A588" s="92" t="s">
        <v>892</v>
      </c>
      <c r="B588" s="92" t="s">
        <v>52</v>
      </c>
      <c r="C588" s="92" t="s">
        <v>922</v>
      </c>
      <c r="D588" s="92"/>
      <c r="E588" s="92" t="s">
        <v>49</v>
      </c>
      <c r="F588" s="92"/>
      <c r="G588" s="156">
        <v>9963687</v>
      </c>
      <c r="H588" s="156">
        <v>18804683</v>
      </c>
      <c r="I588" s="156" t="s">
        <v>772</v>
      </c>
      <c r="J588" s="156">
        <v>12</v>
      </c>
      <c r="K588" s="156">
        <v>21</v>
      </c>
      <c r="L588" s="96">
        <v>-2343640</v>
      </c>
      <c r="M588" s="100">
        <v>44531</v>
      </c>
      <c r="N588" s="100">
        <v>44531</v>
      </c>
      <c r="O588" s="100">
        <v>44515</v>
      </c>
      <c r="P588" s="92" t="s">
        <v>2697</v>
      </c>
      <c r="Q588" s="92" t="s">
        <v>2697</v>
      </c>
      <c r="R588" s="92"/>
      <c r="S588" s="92">
        <v>0</v>
      </c>
      <c r="T588" s="92" t="s">
        <v>2698</v>
      </c>
      <c r="U588" s="92"/>
      <c r="V588" s="92"/>
      <c r="W588" s="92"/>
      <c r="X588" s="92"/>
      <c r="Y588" s="92" t="s">
        <v>606</v>
      </c>
      <c r="Z588" s="92" t="s">
        <v>770</v>
      </c>
      <c r="AA588" s="92" t="s">
        <v>1014</v>
      </c>
      <c r="AB588" s="92" t="s">
        <v>778</v>
      </c>
      <c r="AC588" s="92" t="s">
        <v>782</v>
      </c>
      <c r="AD588" s="92" t="s">
        <v>2699</v>
      </c>
      <c r="AE588" s="92"/>
      <c r="AF588" s="92"/>
    </row>
    <row r="589" spans="1:32" ht="12.75" customHeight="1">
      <c r="A589" s="92" t="s">
        <v>892</v>
      </c>
      <c r="B589" s="92" t="s">
        <v>52</v>
      </c>
      <c r="C589" s="92" t="s">
        <v>922</v>
      </c>
      <c r="D589" s="92"/>
      <c r="E589" s="92" t="s">
        <v>49</v>
      </c>
      <c r="F589" s="92"/>
      <c r="G589" s="156">
        <v>9964042</v>
      </c>
      <c r="H589" s="156">
        <v>18804833</v>
      </c>
      <c r="I589" s="156" t="s">
        <v>772</v>
      </c>
      <c r="J589" s="156">
        <v>12</v>
      </c>
      <c r="K589" s="156">
        <v>21</v>
      </c>
      <c r="L589" s="96">
        <v>105000</v>
      </c>
      <c r="M589" s="100">
        <v>44531</v>
      </c>
      <c r="N589" s="100">
        <v>44531</v>
      </c>
      <c r="O589" s="100">
        <v>44516</v>
      </c>
      <c r="P589" s="92" t="s">
        <v>2700</v>
      </c>
      <c r="Q589" s="92" t="s">
        <v>2701</v>
      </c>
      <c r="R589" s="92"/>
      <c r="S589" s="92">
        <v>0</v>
      </c>
      <c r="T589" s="92" t="s">
        <v>2702</v>
      </c>
      <c r="U589" s="92"/>
      <c r="V589" s="92"/>
      <c r="W589" s="92"/>
      <c r="X589" s="92"/>
      <c r="Y589" s="92" t="s">
        <v>606</v>
      </c>
      <c r="Z589" s="92" t="s">
        <v>770</v>
      </c>
      <c r="AA589" s="92" t="s">
        <v>1014</v>
      </c>
      <c r="AB589" s="92" t="s">
        <v>778</v>
      </c>
      <c r="AC589" s="92" t="s">
        <v>782</v>
      </c>
      <c r="AD589" s="92" t="s">
        <v>2703</v>
      </c>
      <c r="AE589" s="92"/>
      <c r="AF589" s="92"/>
    </row>
    <row r="590" spans="1:32" ht="12.75" customHeight="1">
      <c r="A590" s="92" t="s">
        <v>892</v>
      </c>
      <c r="B590" s="92" t="s">
        <v>52</v>
      </c>
      <c r="C590" s="92" t="s">
        <v>922</v>
      </c>
      <c r="D590" s="92"/>
      <c r="E590" s="92" t="s">
        <v>49</v>
      </c>
      <c r="F590" s="92"/>
      <c r="G590" s="156">
        <v>9964042</v>
      </c>
      <c r="H590" s="156">
        <v>18804833</v>
      </c>
      <c r="I590" s="156" t="s">
        <v>772</v>
      </c>
      <c r="J590" s="156">
        <v>12</v>
      </c>
      <c r="K590" s="156">
        <v>21</v>
      </c>
      <c r="L590" s="96">
        <v>8000</v>
      </c>
      <c r="M590" s="100">
        <v>44531</v>
      </c>
      <c r="N590" s="100">
        <v>44531</v>
      </c>
      <c r="O590" s="100">
        <v>44516</v>
      </c>
      <c r="P590" s="92" t="s">
        <v>2704</v>
      </c>
      <c r="Q590" s="92" t="s">
        <v>2701</v>
      </c>
      <c r="R590" s="92"/>
      <c r="S590" s="92">
        <v>0</v>
      </c>
      <c r="T590" s="92" t="s">
        <v>2705</v>
      </c>
      <c r="U590" s="92"/>
      <c r="V590" s="92"/>
      <c r="W590" s="92"/>
      <c r="X590" s="92"/>
      <c r="Y590" s="92" t="s">
        <v>606</v>
      </c>
      <c r="Z590" s="92" t="s">
        <v>770</v>
      </c>
      <c r="AA590" s="92" t="s">
        <v>1014</v>
      </c>
      <c r="AB590" s="92" t="s">
        <v>778</v>
      </c>
      <c r="AC590" s="92" t="s">
        <v>782</v>
      </c>
      <c r="AD590" s="92" t="s">
        <v>2706</v>
      </c>
      <c r="AE590" s="92"/>
      <c r="AF590" s="92"/>
    </row>
    <row r="591" spans="1:32" ht="12.75" customHeight="1">
      <c r="A591" s="92" t="s">
        <v>892</v>
      </c>
      <c r="B591" s="92" t="s">
        <v>52</v>
      </c>
      <c r="C591" s="92" t="s">
        <v>922</v>
      </c>
      <c r="D591" s="92"/>
      <c r="E591" s="92" t="s">
        <v>49</v>
      </c>
      <c r="F591" s="92"/>
      <c r="G591" s="156">
        <v>9964927</v>
      </c>
      <c r="H591" s="156">
        <v>18838120</v>
      </c>
      <c r="I591" s="156" t="s">
        <v>772</v>
      </c>
      <c r="J591" s="156">
        <v>12</v>
      </c>
      <c r="K591" s="156">
        <v>21</v>
      </c>
      <c r="L591" s="96">
        <v>-3971750</v>
      </c>
      <c r="M591" s="100">
        <v>44531</v>
      </c>
      <c r="N591" s="100">
        <v>44531</v>
      </c>
      <c r="O591" s="100">
        <v>44517</v>
      </c>
      <c r="P591" s="92" t="s">
        <v>2707</v>
      </c>
      <c r="Q591" s="92" t="s">
        <v>2707</v>
      </c>
      <c r="R591" s="92"/>
      <c r="S591" s="92">
        <v>0</v>
      </c>
      <c r="T591" s="92" t="s">
        <v>2708</v>
      </c>
      <c r="U591" s="92"/>
      <c r="V591" s="92"/>
      <c r="W591" s="92"/>
      <c r="X591" s="92"/>
      <c r="Y591" s="92" t="s">
        <v>606</v>
      </c>
      <c r="Z591" s="92" t="s">
        <v>770</v>
      </c>
      <c r="AA591" s="92" t="s">
        <v>1014</v>
      </c>
      <c r="AB591" s="92" t="s">
        <v>778</v>
      </c>
      <c r="AC591" s="92" t="s">
        <v>782</v>
      </c>
      <c r="AD591" s="92" t="s">
        <v>2709</v>
      </c>
      <c r="AE591" s="92"/>
      <c r="AF591" s="92"/>
    </row>
    <row r="592" spans="1:32" ht="12.75" customHeight="1">
      <c r="A592" s="92" t="s">
        <v>892</v>
      </c>
      <c r="B592" s="92" t="s">
        <v>52</v>
      </c>
      <c r="C592" s="92" t="s">
        <v>922</v>
      </c>
      <c r="D592" s="92"/>
      <c r="E592" s="92" t="s">
        <v>768</v>
      </c>
      <c r="F592" s="92"/>
      <c r="G592" s="156">
        <v>9972468</v>
      </c>
      <c r="H592" s="156">
        <v>1417467</v>
      </c>
      <c r="I592" s="156" t="s">
        <v>769</v>
      </c>
      <c r="J592" s="156">
        <v>12</v>
      </c>
      <c r="K592" s="156">
        <v>21</v>
      </c>
      <c r="L592" s="96">
        <v>1985875</v>
      </c>
      <c r="M592" s="100">
        <v>44501</v>
      </c>
      <c r="N592" s="100">
        <v>44536</v>
      </c>
      <c r="O592" s="100">
        <v>44536</v>
      </c>
      <c r="P592" s="92" t="s">
        <v>2777</v>
      </c>
      <c r="Q592" s="92" t="s">
        <v>662</v>
      </c>
      <c r="R592" s="92" t="s">
        <v>2778</v>
      </c>
      <c r="S592" s="92" t="s">
        <v>2779</v>
      </c>
      <c r="T592" s="92" t="s">
        <v>2708</v>
      </c>
      <c r="U592" s="92"/>
      <c r="V592" s="92"/>
      <c r="W592" s="92"/>
      <c r="X592" s="92"/>
      <c r="Y592" s="92" t="s">
        <v>606</v>
      </c>
      <c r="Z592" s="92" t="s">
        <v>770</v>
      </c>
      <c r="AA592" s="92" t="s">
        <v>1236</v>
      </c>
      <c r="AB592" s="92" t="s">
        <v>778</v>
      </c>
      <c r="AC592" s="92" t="s">
        <v>782</v>
      </c>
      <c r="AD592" s="92" t="s">
        <v>2709</v>
      </c>
      <c r="AE592" s="92"/>
      <c r="AF592" s="92"/>
    </row>
    <row r="593" spans="1:32" ht="12.75" customHeight="1">
      <c r="A593" s="92" t="s">
        <v>892</v>
      </c>
      <c r="B593" s="92" t="s">
        <v>62</v>
      </c>
      <c r="C593" s="92" t="s">
        <v>922</v>
      </c>
      <c r="D593" s="92"/>
      <c r="E593" s="92" t="s">
        <v>768</v>
      </c>
      <c r="F593" s="92"/>
      <c r="G593" s="156">
        <v>9972392</v>
      </c>
      <c r="H593" s="156">
        <v>1417390</v>
      </c>
      <c r="I593" s="156" t="s">
        <v>769</v>
      </c>
      <c r="J593" s="156">
        <v>12</v>
      </c>
      <c r="K593" s="156">
        <v>21</v>
      </c>
      <c r="L593" s="96">
        <v>1812200</v>
      </c>
      <c r="M593" s="100">
        <v>44158</v>
      </c>
      <c r="N593" s="100">
        <v>44536</v>
      </c>
      <c r="O593" s="100">
        <v>44536</v>
      </c>
      <c r="P593" s="92" t="s">
        <v>2780</v>
      </c>
      <c r="Q593" s="92" t="s">
        <v>2781</v>
      </c>
      <c r="R593" s="92" t="s">
        <v>2782</v>
      </c>
      <c r="S593" s="92" t="s">
        <v>2783</v>
      </c>
      <c r="T593" s="92" t="s">
        <v>1828</v>
      </c>
      <c r="U593" s="92"/>
      <c r="V593" s="92"/>
      <c r="W593" s="92"/>
      <c r="X593" s="92"/>
      <c r="Y593" s="92" t="s">
        <v>606</v>
      </c>
      <c r="Z593" s="92" t="s">
        <v>770</v>
      </c>
      <c r="AA593" s="92" t="s">
        <v>1236</v>
      </c>
      <c r="AB593" s="92" t="s">
        <v>778</v>
      </c>
      <c r="AC593" s="92" t="s">
        <v>914</v>
      </c>
      <c r="AD593" s="92"/>
      <c r="AE593" s="92"/>
      <c r="AF593" s="92"/>
    </row>
    <row r="594" spans="1:32" ht="12.75" customHeight="1">
      <c r="A594" s="92" t="s">
        <v>892</v>
      </c>
      <c r="B594" s="92" t="s">
        <v>62</v>
      </c>
      <c r="C594" s="92" t="s">
        <v>922</v>
      </c>
      <c r="D594" s="92"/>
      <c r="E594" s="92" t="s">
        <v>49</v>
      </c>
      <c r="F594" s="92"/>
      <c r="G594" s="156">
        <v>9964976</v>
      </c>
      <c r="H594" s="156">
        <v>18838156</v>
      </c>
      <c r="I594" s="156" t="s">
        <v>772</v>
      </c>
      <c r="J594" s="156">
        <v>12</v>
      </c>
      <c r="K594" s="156">
        <v>21</v>
      </c>
      <c r="L594" s="96">
        <v>-239840</v>
      </c>
      <c r="M594" s="100">
        <v>44561</v>
      </c>
      <c r="N594" s="100">
        <v>44561</v>
      </c>
      <c r="O594" s="100">
        <v>44517</v>
      </c>
      <c r="P594" s="92" t="s">
        <v>2710</v>
      </c>
      <c r="Q594" s="92" t="s">
        <v>2711</v>
      </c>
      <c r="R594" s="92"/>
      <c r="S594" s="92">
        <v>0</v>
      </c>
      <c r="T594" s="92" t="s">
        <v>2712</v>
      </c>
      <c r="U594" s="92"/>
      <c r="V594" s="92"/>
      <c r="W594" s="92" t="s">
        <v>773</v>
      </c>
      <c r="X594" s="92"/>
      <c r="Y594" s="92" t="s">
        <v>606</v>
      </c>
      <c r="Z594" s="92" t="s">
        <v>770</v>
      </c>
      <c r="AA594" s="92" t="s">
        <v>2612</v>
      </c>
      <c r="AB594" s="92" t="s">
        <v>778</v>
      </c>
      <c r="AC594" s="92" t="s">
        <v>914</v>
      </c>
      <c r="AD594" s="92" t="s">
        <v>2527</v>
      </c>
      <c r="AE594" s="92"/>
      <c r="AF594" s="92"/>
    </row>
    <row r="595" spans="1:32" ht="12.75" customHeight="1">
      <c r="A595" s="92" t="s">
        <v>892</v>
      </c>
      <c r="B595" s="92" t="s">
        <v>66</v>
      </c>
      <c r="C595" s="92" t="s">
        <v>922</v>
      </c>
      <c r="D595" s="92"/>
      <c r="E595" s="92" t="s">
        <v>768</v>
      </c>
      <c r="F595" s="92"/>
      <c r="G595" s="156">
        <v>9971700</v>
      </c>
      <c r="H595" s="156">
        <v>1416703</v>
      </c>
      <c r="I595" s="156" t="s">
        <v>769</v>
      </c>
      <c r="J595" s="156">
        <v>12</v>
      </c>
      <c r="K595" s="156">
        <v>21</v>
      </c>
      <c r="L595" s="96">
        <v>486000</v>
      </c>
      <c r="M595" s="100">
        <v>44475</v>
      </c>
      <c r="N595" s="100">
        <v>44536</v>
      </c>
      <c r="O595" s="100">
        <v>44536</v>
      </c>
      <c r="P595" s="92" t="s">
        <v>2784</v>
      </c>
      <c r="Q595" s="92" t="s">
        <v>710</v>
      </c>
      <c r="R595" s="92" t="s">
        <v>2785</v>
      </c>
      <c r="S595" s="92" t="s">
        <v>2786</v>
      </c>
      <c r="T595" s="92" t="s">
        <v>2787</v>
      </c>
      <c r="U595" s="92"/>
      <c r="V595" s="92"/>
      <c r="W595" s="92"/>
      <c r="X595" s="92"/>
      <c r="Y595" s="92" t="s">
        <v>606</v>
      </c>
      <c r="Z595" s="92" t="s">
        <v>770</v>
      </c>
      <c r="AA595" s="92" t="s">
        <v>1236</v>
      </c>
      <c r="AB595" s="92" t="s">
        <v>778</v>
      </c>
      <c r="AC595" s="92" t="s">
        <v>783</v>
      </c>
      <c r="AD595" s="92" t="s">
        <v>2412</v>
      </c>
      <c r="AE595" s="92"/>
      <c r="AF595" s="92"/>
    </row>
    <row r="596" spans="1:32" ht="12.75" customHeight="1">
      <c r="A596" s="92" t="s">
        <v>892</v>
      </c>
      <c r="B596" s="92" t="s">
        <v>66</v>
      </c>
      <c r="C596" s="92" t="s">
        <v>922</v>
      </c>
      <c r="D596" s="92"/>
      <c r="E596" s="92" t="s">
        <v>49</v>
      </c>
      <c r="F596" s="92"/>
      <c r="G596" s="156">
        <v>9968726</v>
      </c>
      <c r="H596" s="156">
        <v>18847823</v>
      </c>
      <c r="I596" s="156" t="s">
        <v>772</v>
      </c>
      <c r="J596" s="156">
        <v>12</v>
      </c>
      <c r="K596" s="156">
        <v>21</v>
      </c>
      <c r="L596" s="96">
        <v>90000</v>
      </c>
      <c r="M596" s="100">
        <v>44561</v>
      </c>
      <c r="N596" s="100">
        <v>44561</v>
      </c>
      <c r="O596" s="100">
        <v>44530</v>
      </c>
      <c r="P596" s="92" t="s">
        <v>2713</v>
      </c>
      <c r="Q596" s="92" t="s">
        <v>2714</v>
      </c>
      <c r="R596" s="92"/>
      <c r="S596" s="92">
        <v>0</v>
      </c>
      <c r="T596" s="92" t="s">
        <v>2715</v>
      </c>
      <c r="U596" s="92"/>
      <c r="V596" s="92"/>
      <c r="W596" s="92" t="s">
        <v>1251</v>
      </c>
      <c r="X596" s="92"/>
      <c r="Y596" s="92" t="s">
        <v>606</v>
      </c>
      <c r="Z596" s="92" t="s">
        <v>770</v>
      </c>
      <c r="AA596" s="92" t="s">
        <v>2409</v>
      </c>
      <c r="AB596" s="92" t="s">
        <v>778</v>
      </c>
      <c r="AC596" s="92" t="s">
        <v>783</v>
      </c>
      <c r="AD596" s="92" t="s">
        <v>2716</v>
      </c>
      <c r="AE596" s="92"/>
      <c r="AF596" s="92"/>
    </row>
    <row r="597" spans="1:32" ht="12.75" customHeight="1">
      <c r="A597" s="92" t="s">
        <v>892</v>
      </c>
      <c r="B597" s="92" t="s">
        <v>66</v>
      </c>
      <c r="C597" s="92" t="s">
        <v>922</v>
      </c>
      <c r="D597" s="92"/>
      <c r="E597" s="92" t="s">
        <v>49</v>
      </c>
      <c r="F597" s="92"/>
      <c r="G597" s="156">
        <v>9968726</v>
      </c>
      <c r="H597" s="156">
        <v>18847823</v>
      </c>
      <c r="I597" s="156" t="s">
        <v>772</v>
      </c>
      <c r="J597" s="156">
        <v>12</v>
      </c>
      <c r="K597" s="156">
        <v>21</v>
      </c>
      <c r="L597" s="96">
        <v>-75000</v>
      </c>
      <c r="M597" s="100">
        <v>44561</v>
      </c>
      <c r="N597" s="100">
        <v>44561</v>
      </c>
      <c r="O597" s="100">
        <v>44530</v>
      </c>
      <c r="P597" s="92" t="s">
        <v>2717</v>
      </c>
      <c r="Q597" s="92" t="s">
        <v>2714</v>
      </c>
      <c r="R597" s="92"/>
      <c r="S597" s="92">
        <v>0</v>
      </c>
      <c r="T597" s="92" t="s">
        <v>2718</v>
      </c>
      <c r="U597" s="92"/>
      <c r="V597" s="92"/>
      <c r="W597" s="92" t="s">
        <v>1251</v>
      </c>
      <c r="X597" s="92"/>
      <c r="Y597" s="92" t="s">
        <v>606</v>
      </c>
      <c r="Z597" s="92" t="s">
        <v>770</v>
      </c>
      <c r="AA597" s="92" t="s">
        <v>2409</v>
      </c>
      <c r="AB597" s="92" t="s">
        <v>778</v>
      </c>
      <c r="AC597" s="92" t="s">
        <v>783</v>
      </c>
      <c r="AD597" s="92" t="s">
        <v>2534</v>
      </c>
      <c r="AE597" s="92"/>
      <c r="AF597" s="92"/>
    </row>
    <row r="598" spans="1:32" ht="12.75" customHeight="1">
      <c r="A598" s="92" t="s">
        <v>892</v>
      </c>
      <c r="B598" s="92" t="s">
        <v>66</v>
      </c>
      <c r="C598" s="92" t="s">
        <v>922</v>
      </c>
      <c r="D598" s="92"/>
      <c r="E598" s="92" t="s">
        <v>49</v>
      </c>
      <c r="F598" s="92"/>
      <c r="G598" s="156">
        <v>9968915</v>
      </c>
      <c r="H598" s="156">
        <v>18848210</v>
      </c>
      <c r="I598" s="156" t="s">
        <v>772</v>
      </c>
      <c r="J598" s="156">
        <v>12</v>
      </c>
      <c r="K598" s="156">
        <v>21</v>
      </c>
      <c r="L598" s="96">
        <v>15000</v>
      </c>
      <c r="M598" s="100">
        <v>44561</v>
      </c>
      <c r="N598" s="100">
        <v>44561</v>
      </c>
      <c r="O598" s="100">
        <v>44530</v>
      </c>
      <c r="P598" s="92" t="s">
        <v>2719</v>
      </c>
      <c r="Q598" s="92" t="s">
        <v>2720</v>
      </c>
      <c r="R598" s="92"/>
      <c r="S598" s="92">
        <v>0</v>
      </c>
      <c r="T598" s="92" t="s">
        <v>2632</v>
      </c>
      <c r="U598" s="92"/>
      <c r="V598" s="92"/>
      <c r="W598" s="92" t="s">
        <v>1251</v>
      </c>
      <c r="X598" s="92"/>
      <c r="Y598" s="92" t="s">
        <v>606</v>
      </c>
      <c r="Z598" s="92" t="s">
        <v>770</v>
      </c>
      <c r="AA598" s="92" t="s">
        <v>2409</v>
      </c>
      <c r="AB598" s="92" t="s">
        <v>778</v>
      </c>
      <c r="AC598" s="92" t="s">
        <v>783</v>
      </c>
      <c r="AD598" s="92" t="s">
        <v>2509</v>
      </c>
      <c r="AE598" s="92"/>
      <c r="AF598" s="92"/>
    </row>
    <row r="599" spans="1:32" ht="12.75" customHeight="1">
      <c r="A599" s="92" t="s">
        <v>892</v>
      </c>
      <c r="B599" s="92" t="s">
        <v>727</v>
      </c>
      <c r="C599" s="92" t="s">
        <v>922</v>
      </c>
      <c r="D599" s="92"/>
      <c r="E599" s="92" t="s">
        <v>768</v>
      </c>
      <c r="F599" s="92"/>
      <c r="G599" s="156">
        <v>9978111</v>
      </c>
      <c r="H599" s="156">
        <v>1419061</v>
      </c>
      <c r="I599" s="156" t="s">
        <v>769</v>
      </c>
      <c r="J599" s="156">
        <v>12</v>
      </c>
      <c r="K599" s="156">
        <v>21</v>
      </c>
      <c r="L599" s="96">
        <v>200000</v>
      </c>
      <c r="M599" s="100">
        <v>44510</v>
      </c>
      <c r="N599" s="100">
        <v>44547</v>
      </c>
      <c r="O599" s="100">
        <v>44547</v>
      </c>
      <c r="P599" s="92" t="s">
        <v>2803</v>
      </c>
      <c r="Q599" s="92" t="s">
        <v>2804</v>
      </c>
      <c r="R599" s="92" t="s">
        <v>2805</v>
      </c>
      <c r="S599" s="92" t="s">
        <v>2806</v>
      </c>
      <c r="T599" s="92" t="s">
        <v>1848</v>
      </c>
      <c r="U599" s="92"/>
      <c r="V599" s="92"/>
      <c r="W599" s="92"/>
      <c r="X599" s="92"/>
      <c r="Y599" s="92" t="s">
        <v>606</v>
      </c>
      <c r="Z599" s="92" t="s">
        <v>770</v>
      </c>
      <c r="AA599" s="92" t="s">
        <v>1236</v>
      </c>
      <c r="AB599" s="92" t="s">
        <v>778</v>
      </c>
      <c r="AC599" s="92" t="s">
        <v>928</v>
      </c>
      <c r="AD599" s="92" t="s">
        <v>1849</v>
      </c>
      <c r="AE599" s="92"/>
      <c r="AF599" s="92"/>
    </row>
    <row r="600" spans="1:32" ht="12.75" customHeight="1">
      <c r="A600" s="92" t="s">
        <v>620</v>
      </c>
      <c r="B600" s="92" t="s">
        <v>71</v>
      </c>
      <c r="C600" s="92" t="s">
        <v>922</v>
      </c>
      <c r="D600" s="92"/>
      <c r="E600" s="92" t="s">
        <v>768</v>
      </c>
      <c r="F600" s="92"/>
      <c r="G600" s="156">
        <v>9974830</v>
      </c>
      <c r="H600" s="156">
        <v>1418323</v>
      </c>
      <c r="I600" s="156" t="s">
        <v>769</v>
      </c>
      <c r="J600" s="156">
        <v>12</v>
      </c>
      <c r="K600" s="156">
        <v>21</v>
      </c>
      <c r="L600" s="96">
        <v>50000</v>
      </c>
      <c r="M600" s="100">
        <v>44419</v>
      </c>
      <c r="N600" s="100">
        <v>44540</v>
      </c>
      <c r="O600" s="100">
        <v>44540</v>
      </c>
      <c r="P600" s="92" t="s">
        <v>2807</v>
      </c>
      <c r="Q600" s="92" t="s">
        <v>635</v>
      </c>
      <c r="R600" s="92" t="s">
        <v>2808</v>
      </c>
      <c r="S600" s="92" t="s">
        <v>1153</v>
      </c>
      <c r="T600" s="92" t="s">
        <v>2809</v>
      </c>
      <c r="U600" s="92"/>
      <c r="V600" s="92"/>
      <c r="W600" s="92"/>
      <c r="X600" s="92"/>
      <c r="Y600" s="92" t="s">
        <v>606</v>
      </c>
      <c r="Z600" s="92" t="s">
        <v>770</v>
      </c>
      <c r="AA600" s="92" t="s">
        <v>1236</v>
      </c>
      <c r="AB600" s="92" t="s">
        <v>778</v>
      </c>
      <c r="AC600" s="92" t="s">
        <v>910</v>
      </c>
      <c r="AD600" s="92" t="s">
        <v>2297</v>
      </c>
      <c r="AE600" s="92"/>
      <c r="AF600" s="92"/>
    </row>
    <row r="601" spans="1:32" ht="12.75" customHeight="1">
      <c r="A601" s="92" t="s">
        <v>620</v>
      </c>
      <c r="B601" s="92" t="s">
        <v>71</v>
      </c>
      <c r="C601" s="92" t="s">
        <v>922</v>
      </c>
      <c r="D601" s="92"/>
      <c r="E601" s="92" t="s">
        <v>768</v>
      </c>
      <c r="F601" s="92"/>
      <c r="G601" s="156">
        <v>9979204</v>
      </c>
      <c r="H601" s="156">
        <v>1419297</v>
      </c>
      <c r="I601" s="156" t="s">
        <v>769</v>
      </c>
      <c r="J601" s="156">
        <v>12</v>
      </c>
      <c r="K601" s="156">
        <v>21</v>
      </c>
      <c r="L601" s="96">
        <v>200000</v>
      </c>
      <c r="M601" s="100">
        <v>44496</v>
      </c>
      <c r="N601" s="100">
        <v>44550</v>
      </c>
      <c r="O601" s="100">
        <v>44550</v>
      </c>
      <c r="P601" s="92" t="s">
        <v>2810</v>
      </c>
      <c r="Q601" s="92" t="s">
        <v>1059</v>
      </c>
      <c r="R601" s="92" t="s">
        <v>2811</v>
      </c>
      <c r="S601" s="92" t="s">
        <v>2812</v>
      </c>
      <c r="T601" s="92" t="s">
        <v>2727</v>
      </c>
      <c r="U601" s="92"/>
      <c r="V601" s="92"/>
      <c r="W601" s="92"/>
      <c r="X601" s="92"/>
      <c r="Y601" s="92" t="s">
        <v>606</v>
      </c>
      <c r="Z601" s="92" t="s">
        <v>770</v>
      </c>
      <c r="AA601" s="92" t="s">
        <v>1236</v>
      </c>
      <c r="AB601" s="92" t="s">
        <v>778</v>
      </c>
      <c r="AC601" s="92" t="s">
        <v>910</v>
      </c>
      <c r="AD601" s="92" t="s">
        <v>2728</v>
      </c>
      <c r="AE601" s="92"/>
      <c r="AF601" s="92"/>
    </row>
    <row r="602" spans="1:32" ht="12.75" customHeight="1">
      <c r="A602" s="92" t="s">
        <v>620</v>
      </c>
      <c r="B602" s="92" t="s">
        <v>71</v>
      </c>
      <c r="C602" s="92" t="s">
        <v>922</v>
      </c>
      <c r="D602" s="92"/>
      <c r="E602" s="92" t="s">
        <v>49</v>
      </c>
      <c r="F602" s="92"/>
      <c r="G602" s="156">
        <v>9969030</v>
      </c>
      <c r="H602" s="156">
        <v>18848252</v>
      </c>
      <c r="I602" s="156" t="s">
        <v>772</v>
      </c>
      <c r="J602" s="156">
        <v>12</v>
      </c>
      <c r="K602" s="156">
        <v>21</v>
      </c>
      <c r="L602" s="96">
        <v>-20000</v>
      </c>
      <c r="M602" s="100">
        <v>44560</v>
      </c>
      <c r="N602" s="100">
        <v>44560</v>
      </c>
      <c r="O602" s="100">
        <v>44530</v>
      </c>
      <c r="P602" s="92" t="s">
        <v>2721</v>
      </c>
      <c r="Q602" s="92" t="s">
        <v>2722</v>
      </c>
      <c r="R602" s="92"/>
      <c r="S602" s="92">
        <v>0</v>
      </c>
      <c r="T602" s="92" t="s">
        <v>1974</v>
      </c>
      <c r="U602" s="92"/>
      <c r="V602" s="92"/>
      <c r="W602" s="92"/>
      <c r="X602" s="92"/>
      <c r="Y602" s="92" t="s">
        <v>606</v>
      </c>
      <c r="Z602" s="92" t="s">
        <v>770</v>
      </c>
      <c r="AA602" s="92" t="s">
        <v>1855</v>
      </c>
      <c r="AB602" s="92" t="s">
        <v>1281</v>
      </c>
      <c r="AC602" s="92" t="s">
        <v>910</v>
      </c>
      <c r="AD602" s="92"/>
      <c r="AE602" s="92"/>
      <c r="AF602" s="92"/>
    </row>
    <row r="603" spans="1:32" ht="12.75" customHeight="1">
      <c r="A603" s="92" t="s">
        <v>620</v>
      </c>
      <c r="B603" s="92" t="s">
        <v>71</v>
      </c>
      <c r="C603" s="92" t="s">
        <v>922</v>
      </c>
      <c r="D603" s="92"/>
      <c r="E603" s="92" t="s">
        <v>49</v>
      </c>
      <c r="F603" s="92"/>
      <c r="G603" s="156">
        <v>9969030</v>
      </c>
      <c r="H603" s="156">
        <v>18848252</v>
      </c>
      <c r="I603" s="156" t="s">
        <v>772</v>
      </c>
      <c r="J603" s="156">
        <v>12</v>
      </c>
      <c r="K603" s="156">
        <v>21</v>
      </c>
      <c r="L603" s="96">
        <v>20000</v>
      </c>
      <c r="M603" s="100">
        <v>44560</v>
      </c>
      <c r="N603" s="100">
        <v>44560</v>
      </c>
      <c r="O603" s="100">
        <v>44530</v>
      </c>
      <c r="P603" s="92" t="s">
        <v>2721</v>
      </c>
      <c r="Q603" s="92" t="s">
        <v>2722</v>
      </c>
      <c r="R603" s="92"/>
      <c r="S603" s="92">
        <v>0</v>
      </c>
      <c r="T603" s="92" t="s">
        <v>1694</v>
      </c>
      <c r="U603" s="92"/>
      <c r="V603" s="92"/>
      <c r="W603" s="92"/>
      <c r="X603" s="92"/>
      <c r="Y603" s="92" t="s">
        <v>606</v>
      </c>
      <c r="Z603" s="92" t="s">
        <v>770</v>
      </c>
      <c r="AA603" s="92" t="s">
        <v>1855</v>
      </c>
      <c r="AB603" s="92" t="s">
        <v>1281</v>
      </c>
      <c r="AC603" s="92" t="s">
        <v>910</v>
      </c>
      <c r="AD603" s="92"/>
      <c r="AE603" s="92"/>
      <c r="AF603" s="92"/>
    </row>
    <row r="604" spans="1:32" ht="12.75" customHeight="1">
      <c r="A604" s="92" t="s">
        <v>620</v>
      </c>
      <c r="B604" s="92" t="s">
        <v>71</v>
      </c>
      <c r="C604" s="92" t="s">
        <v>922</v>
      </c>
      <c r="D604" s="92"/>
      <c r="E604" s="92" t="s">
        <v>49</v>
      </c>
      <c r="F604" s="92"/>
      <c r="G604" s="156">
        <v>9969030</v>
      </c>
      <c r="H604" s="156">
        <v>18848252</v>
      </c>
      <c r="I604" s="156" t="s">
        <v>772</v>
      </c>
      <c r="J604" s="156">
        <v>12</v>
      </c>
      <c r="K604" s="156">
        <v>21</v>
      </c>
      <c r="L604" s="96">
        <v>-20000</v>
      </c>
      <c r="M604" s="100">
        <v>44560</v>
      </c>
      <c r="N604" s="100">
        <v>44560</v>
      </c>
      <c r="O604" s="100">
        <v>44530</v>
      </c>
      <c r="P604" s="92" t="s">
        <v>2723</v>
      </c>
      <c r="Q604" s="92" t="s">
        <v>2722</v>
      </c>
      <c r="R604" s="92"/>
      <c r="S604" s="92">
        <v>0</v>
      </c>
      <c r="T604" s="92" t="s">
        <v>2077</v>
      </c>
      <c r="U604" s="92"/>
      <c r="V604" s="92"/>
      <c r="W604" s="92"/>
      <c r="X604" s="92"/>
      <c r="Y604" s="92" t="s">
        <v>606</v>
      </c>
      <c r="Z604" s="92" t="s">
        <v>770</v>
      </c>
      <c r="AA604" s="92" t="s">
        <v>1855</v>
      </c>
      <c r="AB604" s="92" t="s">
        <v>1281</v>
      </c>
      <c r="AC604" s="92" t="s">
        <v>910</v>
      </c>
      <c r="AD604" s="92" t="s">
        <v>2078</v>
      </c>
      <c r="AE604" s="92"/>
      <c r="AF604" s="92"/>
    </row>
    <row r="605" spans="1:32" ht="12.75" customHeight="1">
      <c r="A605" s="92" t="s">
        <v>620</v>
      </c>
      <c r="B605" s="92" t="s">
        <v>71</v>
      </c>
      <c r="C605" s="92" t="s">
        <v>922</v>
      </c>
      <c r="D605" s="92"/>
      <c r="E605" s="92" t="s">
        <v>49</v>
      </c>
      <c r="F605" s="92"/>
      <c r="G605" s="156">
        <v>9969030</v>
      </c>
      <c r="H605" s="156">
        <v>18848252</v>
      </c>
      <c r="I605" s="156" t="s">
        <v>772</v>
      </c>
      <c r="J605" s="156">
        <v>12</v>
      </c>
      <c r="K605" s="156">
        <v>21</v>
      </c>
      <c r="L605" s="96">
        <v>-20000</v>
      </c>
      <c r="M605" s="100">
        <v>44560</v>
      </c>
      <c r="N605" s="100">
        <v>44560</v>
      </c>
      <c r="O605" s="100">
        <v>44530</v>
      </c>
      <c r="P605" s="92" t="s">
        <v>2724</v>
      </c>
      <c r="Q605" s="92" t="s">
        <v>2722</v>
      </c>
      <c r="R605" s="92"/>
      <c r="S605" s="92">
        <v>0</v>
      </c>
      <c r="T605" s="92" t="s">
        <v>1694</v>
      </c>
      <c r="U605" s="92"/>
      <c r="V605" s="92"/>
      <c r="W605" s="92"/>
      <c r="X605" s="92"/>
      <c r="Y605" s="92" t="s">
        <v>606</v>
      </c>
      <c r="Z605" s="92" t="s">
        <v>770</v>
      </c>
      <c r="AA605" s="92" t="s">
        <v>1855</v>
      </c>
      <c r="AB605" s="92" t="s">
        <v>1281</v>
      </c>
      <c r="AC605" s="92" t="s">
        <v>910</v>
      </c>
      <c r="AD605" s="92" t="s">
        <v>1691</v>
      </c>
      <c r="AE605" s="92"/>
      <c r="AF605" s="92"/>
    </row>
    <row r="606" spans="1:32" ht="12.75" customHeight="1">
      <c r="A606" s="92" t="s">
        <v>620</v>
      </c>
      <c r="B606" s="92" t="s">
        <v>71</v>
      </c>
      <c r="C606" s="92" t="s">
        <v>922</v>
      </c>
      <c r="D606" s="92"/>
      <c r="E606" s="92" t="s">
        <v>49</v>
      </c>
      <c r="F606" s="92"/>
      <c r="G606" s="156">
        <v>9969043</v>
      </c>
      <c r="H606" s="156">
        <v>18848254</v>
      </c>
      <c r="I606" s="156" t="s">
        <v>772</v>
      </c>
      <c r="J606" s="156">
        <v>12</v>
      </c>
      <c r="K606" s="156">
        <v>21</v>
      </c>
      <c r="L606" s="96">
        <v>-200000</v>
      </c>
      <c r="M606" s="100">
        <v>44560</v>
      </c>
      <c r="N606" s="100">
        <v>44560</v>
      </c>
      <c r="O606" s="100">
        <v>44530</v>
      </c>
      <c r="P606" s="92" t="s">
        <v>2725</v>
      </c>
      <c r="Q606" s="92" t="s">
        <v>2726</v>
      </c>
      <c r="R606" s="92"/>
      <c r="S606" s="92">
        <v>0</v>
      </c>
      <c r="T606" s="92" t="s">
        <v>2727</v>
      </c>
      <c r="U606" s="92"/>
      <c r="V606" s="92"/>
      <c r="W606" s="92" t="s">
        <v>773</v>
      </c>
      <c r="X606" s="92"/>
      <c r="Y606" s="92" t="s">
        <v>606</v>
      </c>
      <c r="Z606" s="92" t="s">
        <v>770</v>
      </c>
      <c r="AA606" s="92" t="s">
        <v>1855</v>
      </c>
      <c r="AB606" s="92" t="s">
        <v>1281</v>
      </c>
      <c r="AC606" s="92" t="s">
        <v>910</v>
      </c>
      <c r="AD606" s="92" t="s">
        <v>2728</v>
      </c>
      <c r="AE606" s="92"/>
      <c r="AF606" s="92"/>
    </row>
    <row r="607" spans="1:32" ht="12.75" customHeight="1">
      <c r="A607" s="92" t="s">
        <v>620</v>
      </c>
      <c r="B607" s="92" t="s">
        <v>71</v>
      </c>
      <c r="C607" s="92" t="s">
        <v>922</v>
      </c>
      <c r="D607" s="92"/>
      <c r="E607" s="92" t="s">
        <v>49</v>
      </c>
      <c r="F607" s="92"/>
      <c r="G607" s="156">
        <v>9969281</v>
      </c>
      <c r="H607" s="156">
        <v>18848339</v>
      </c>
      <c r="I607" s="156" t="s">
        <v>772</v>
      </c>
      <c r="J607" s="156">
        <v>12</v>
      </c>
      <c r="K607" s="156">
        <v>21</v>
      </c>
      <c r="L607" s="96">
        <v>-20000</v>
      </c>
      <c r="M607" s="100">
        <v>44560</v>
      </c>
      <c r="N607" s="100">
        <v>44560</v>
      </c>
      <c r="O607" s="100">
        <v>44531</v>
      </c>
      <c r="P607" s="92" t="s">
        <v>2724</v>
      </c>
      <c r="Q607" s="92" t="s">
        <v>2722</v>
      </c>
      <c r="R607" s="92"/>
      <c r="S607" s="92">
        <v>0</v>
      </c>
      <c r="T607" s="92" t="s">
        <v>1694</v>
      </c>
      <c r="U607" s="92"/>
      <c r="V607" s="92"/>
      <c r="W607" s="92"/>
      <c r="X607" s="92"/>
      <c r="Y607" s="92" t="s">
        <v>606</v>
      </c>
      <c r="Z607" s="92" t="s">
        <v>770</v>
      </c>
      <c r="AA607" s="92" t="s">
        <v>1855</v>
      </c>
      <c r="AB607" s="92" t="s">
        <v>1281</v>
      </c>
      <c r="AC607" s="92" t="s">
        <v>910</v>
      </c>
      <c r="AD607" s="92" t="s">
        <v>1691</v>
      </c>
      <c r="AE607" s="92"/>
      <c r="AF607" s="92"/>
    </row>
    <row r="608" spans="1:32" ht="12.75" customHeight="1">
      <c r="A608" s="92" t="s">
        <v>620</v>
      </c>
      <c r="B608" s="92" t="s">
        <v>55</v>
      </c>
      <c r="C608" s="92" t="s">
        <v>922</v>
      </c>
      <c r="D608" s="92"/>
      <c r="E608" s="92" t="s">
        <v>768</v>
      </c>
      <c r="F608" s="92"/>
      <c r="G608" s="156">
        <v>9974812</v>
      </c>
      <c r="H608" s="156">
        <v>1418307</v>
      </c>
      <c r="I608" s="156" t="s">
        <v>769</v>
      </c>
      <c r="J608" s="156">
        <v>12</v>
      </c>
      <c r="K608" s="156">
        <v>21</v>
      </c>
      <c r="L608" s="96">
        <v>36000</v>
      </c>
      <c r="M608" s="100">
        <v>44407</v>
      </c>
      <c r="N608" s="100">
        <v>44540</v>
      </c>
      <c r="O608" s="100">
        <v>44540</v>
      </c>
      <c r="P608" s="92" t="s">
        <v>2813</v>
      </c>
      <c r="Q608" s="92" t="s">
        <v>2814</v>
      </c>
      <c r="R608" s="92" t="s">
        <v>2815</v>
      </c>
      <c r="S608" s="92" t="s">
        <v>2816</v>
      </c>
      <c r="T608" s="92" t="s">
        <v>1718</v>
      </c>
      <c r="U608" s="92"/>
      <c r="V608" s="92"/>
      <c r="W608" s="92"/>
      <c r="X608" s="92"/>
      <c r="Y608" s="92" t="s">
        <v>606</v>
      </c>
      <c r="Z608" s="92" t="s">
        <v>770</v>
      </c>
      <c r="AA608" s="92" t="s">
        <v>1236</v>
      </c>
      <c r="AB608" s="92" t="s">
        <v>778</v>
      </c>
      <c r="AC608" s="92" t="s">
        <v>779</v>
      </c>
      <c r="AD608" s="92" t="s">
        <v>1716</v>
      </c>
      <c r="AE608" s="92"/>
      <c r="AF608" s="92"/>
    </row>
    <row r="609" spans="1:32" ht="12.75" customHeight="1">
      <c r="A609" s="92" t="s">
        <v>620</v>
      </c>
      <c r="B609" s="92" t="s">
        <v>65</v>
      </c>
      <c r="C609" s="92" t="s">
        <v>922</v>
      </c>
      <c r="D609" s="92"/>
      <c r="E609" s="92" t="s">
        <v>768</v>
      </c>
      <c r="F609" s="92"/>
      <c r="G609" s="156">
        <v>9975449</v>
      </c>
      <c r="H609" s="156">
        <v>1418475</v>
      </c>
      <c r="I609" s="156" t="s">
        <v>769</v>
      </c>
      <c r="J609" s="156">
        <v>12</v>
      </c>
      <c r="K609" s="156">
        <v>21</v>
      </c>
      <c r="L609" s="96">
        <v>223695</v>
      </c>
      <c r="M609" s="100">
        <v>44330</v>
      </c>
      <c r="N609" s="100">
        <v>44543</v>
      </c>
      <c r="O609" s="100">
        <v>44543</v>
      </c>
      <c r="P609" s="92" t="s">
        <v>2817</v>
      </c>
      <c r="Q609" s="92" t="s">
        <v>636</v>
      </c>
      <c r="R609" s="92" t="s">
        <v>2818</v>
      </c>
      <c r="S609" s="92" t="s">
        <v>2819</v>
      </c>
      <c r="T609" s="92" t="s">
        <v>2731</v>
      </c>
      <c r="U609" s="92"/>
      <c r="V609" s="92"/>
      <c r="W609" s="92"/>
      <c r="X609" s="92"/>
      <c r="Y609" s="92" t="s">
        <v>606</v>
      </c>
      <c r="Z609" s="92" t="s">
        <v>770</v>
      </c>
      <c r="AA609" s="92" t="s">
        <v>1236</v>
      </c>
      <c r="AB609" s="92" t="s">
        <v>778</v>
      </c>
      <c r="AC609" s="92" t="s">
        <v>780</v>
      </c>
      <c r="AD609" s="92" t="s">
        <v>1273</v>
      </c>
      <c r="AE609" s="92"/>
      <c r="AF609" s="92"/>
    </row>
    <row r="610" spans="1:32" ht="12.75" customHeight="1">
      <c r="A610" s="92" t="s">
        <v>620</v>
      </c>
      <c r="B610" s="92" t="s">
        <v>65</v>
      </c>
      <c r="C610" s="92" t="s">
        <v>922</v>
      </c>
      <c r="D610" s="92"/>
      <c r="E610" s="92" t="s">
        <v>49</v>
      </c>
      <c r="F610" s="92" t="s">
        <v>768</v>
      </c>
      <c r="G610" s="156">
        <v>9966666</v>
      </c>
      <c r="H610" s="156">
        <v>18845100</v>
      </c>
      <c r="I610" s="156" t="s">
        <v>772</v>
      </c>
      <c r="J610" s="156">
        <v>12</v>
      </c>
      <c r="K610" s="156">
        <v>21</v>
      </c>
      <c r="L610" s="96">
        <v>-223695</v>
      </c>
      <c r="M610" s="100">
        <v>44521</v>
      </c>
      <c r="N610" s="100">
        <v>44561</v>
      </c>
      <c r="O610" s="100">
        <v>44521</v>
      </c>
      <c r="P610" s="92" t="s">
        <v>2729</v>
      </c>
      <c r="Q610" s="92" t="s">
        <v>2730</v>
      </c>
      <c r="R610" s="92"/>
      <c r="S610" s="92">
        <v>0</v>
      </c>
      <c r="T610" s="92" t="s">
        <v>2731</v>
      </c>
      <c r="U610" s="92"/>
      <c r="V610" s="92"/>
      <c r="W610" s="92"/>
      <c r="X610" s="92"/>
      <c r="Y610" s="92" t="s">
        <v>606</v>
      </c>
      <c r="Z610" s="92" t="s">
        <v>770</v>
      </c>
      <c r="AA610" s="92" t="s">
        <v>2310</v>
      </c>
      <c r="AB610" s="92" t="s">
        <v>1281</v>
      </c>
      <c r="AC610" s="92" t="s">
        <v>780</v>
      </c>
      <c r="AD610" s="92" t="s">
        <v>1273</v>
      </c>
      <c r="AE610" s="92"/>
      <c r="AF610" s="92"/>
    </row>
    <row r="611" spans="1:32" ht="12.75" customHeight="1">
      <c r="A611" s="92" t="s">
        <v>620</v>
      </c>
      <c r="B611" s="92" t="s">
        <v>65</v>
      </c>
      <c r="C611" s="92" t="s">
        <v>922</v>
      </c>
      <c r="D611" s="92"/>
      <c r="E611" s="92" t="s">
        <v>49</v>
      </c>
      <c r="F611" s="92" t="s">
        <v>768</v>
      </c>
      <c r="G611" s="156">
        <v>9966666</v>
      </c>
      <c r="H611" s="156">
        <v>18845100</v>
      </c>
      <c r="I611" s="156" t="s">
        <v>772</v>
      </c>
      <c r="J611" s="156">
        <v>12</v>
      </c>
      <c r="K611" s="156">
        <v>21</v>
      </c>
      <c r="L611" s="96">
        <v>223695</v>
      </c>
      <c r="M611" s="100">
        <v>44521</v>
      </c>
      <c r="N611" s="100">
        <v>44561</v>
      </c>
      <c r="O611" s="100">
        <v>44521</v>
      </c>
      <c r="P611" s="92" t="s">
        <v>2729</v>
      </c>
      <c r="Q611" s="92" t="s">
        <v>2730</v>
      </c>
      <c r="R611" s="92"/>
      <c r="S611" s="92">
        <v>0</v>
      </c>
      <c r="T611" s="92" t="s">
        <v>2731</v>
      </c>
      <c r="U611" s="92"/>
      <c r="V611" s="92"/>
      <c r="W611" s="92"/>
      <c r="X611" s="92"/>
      <c r="Y611" s="92" t="s">
        <v>606</v>
      </c>
      <c r="Z611" s="92" t="s">
        <v>770</v>
      </c>
      <c r="AA611" s="92" t="s">
        <v>2310</v>
      </c>
      <c r="AB611" s="92" t="s">
        <v>1281</v>
      </c>
      <c r="AC611" s="92" t="s">
        <v>780</v>
      </c>
      <c r="AD611" s="92" t="s">
        <v>1273</v>
      </c>
      <c r="AE611" s="92"/>
      <c r="AF611" s="92"/>
    </row>
    <row r="612" spans="1:32" ht="12.75" customHeight="1">
      <c r="A612" s="92" t="s">
        <v>620</v>
      </c>
      <c r="B612" s="92" t="s">
        <v>65</v>
      </c>
      <c r="C612" s="92" t="s">
        <v>922</v>
      </c>
      <c r="D612" s="92"/>
      <c r="E612" s="92" t="s">
        <v>49</v>
      </c>
      <c r="F612" s="92"/>
      <c r="G612" s="156">
        <v>9966666</v>
      </c>
      <c r="H612" s="156">
        <v>18845101</v>
      </c>
      <c r="I612" s="156" t="s">
        <v>772</v>
      </c>
      <c r="J612" s="156">
        <v>12</v>
      </c>
      <c r="K612" s="156">
        <v>21</v>
      </c>
      <c r="L612" s="96">
        <v>-150000</v>
      </c>
      <c r="M612" s="100">
        <v>44561</v>
      </c>
      <c r="N612" s="100">
        <v>44561</v>
      </c>
      <c r="O612" s="100">
        <v>44521</v>
      </c>
      <c r="P612" s="92" t="s">
        <v>2732</v>
      </c>
      <c r="Q612" s="92" t="s">
        <v>2732</v>
      </c>
      <c r="R612" s="92"/>
      <c r="S612" s="92">
        <v>0</v>
      </c>
      <c r="T612" s="92" t="s">
        <v>2733</v>
      </c>
      <c r="U612" s="92"/>
      <c r="V612" s="92"/>
      <c r="W612" s="92"/>
      <c r="X612" s="92"/>
      <c r="Y612" s="92" t="s">
        <v>606</v>
      </c>
      <c r="Z612" s="92" t="s">
        <v>770</v>
      </c>
      <c r="AA612" s="92" t="s">
        <v>2310</v>
      </c>
      <c r="AB612" s="92" t="s">
        <v>1281</v>
      </c>
      <c r="AC612" s="92" t="s">
        <v>780</v>
      </c>
      <c r="AD612" s="92" t="s">
        <v>2531</v>
      </c>
      <c r="AE612" s="92"/>
      <c r="AF612" s="92"/>
    </row>
    <row r="613" spans="1:32" ht="12.75" customHeight="1">
      <c r="A613" s="98" t="s">
        <v>620</v>
      </c>
      <c r="B613" s="98" t="s">
        <v>65</v>
      </c>
      <c r="C613" s="98" t="s">
        <v>922</v>
      </c>
      <c r="D613" s="98"/>
      <c r="E613" s="98" t="s">
        <v>49</v>
      </c>
      <c r="F613" s="98"/>
      <c r="G613" s="157">
        <v>9968972</v>
      </c>
      <c r="H613" s="157">
        <v>18848230</v>
      </c>
      <c r="I613" s="157" t="s">
        <v>772</v>
      </c>
      <c r="J613" s="157">
        <v>12</v>
      </c>
      <c r="K613" s="157">
        <v>21</v>
      </c>
      <c r="L613" s="187">
        <v>-70000</v>
      </c>
      <c r="M613" s="101">
        <v>44530</v>
      </c>
      <c r="N613" s="101">
        <v>44561</v>
      </c>
      <c r="O613" s="101">
        <v>44530</v>
      </c>
      <c r="P613" s="98" t="s">
        <v>2734</v>
      </c>
      <c r="Q613" s="98" t="s">
        <v>2735</v>
      </c>
      <c r="R613" s="98"/>
      <c r="S613" s="98">
        <v>0</v>
      </c>
      <c r="T613" s="98" t="s">
        <v>2736</v>
      </c>
      <c r="U613" s="98"/>
      <c r="V613" s="98"/>
      <c r="W613" s="98"/>
      <c r="X613" s="98"/>
      <c r="Y613" s="98" t="s">
        <v>606</v>
      </c>
      <c r="Z613" s="98" t="s">
        <v>770</v>
      </c>
      <c r="AA613" s="98" t="s">
        <v>2310</v>
      </c>
      <c r="AB613" s="98" t="s">
        <v>1281</v>
      </c>
      <c r="AC613" s="98" t="s">
        <v>780</v>
      </c>
      <c r="AD613" s="98" t="s">
        <v>2435</v>
      </c>
      <c r="AE613" s="98"/>
      <c r="AF613" s="98"/>
    </row>
    <row r="614" spans="1:32" ht="12.75" customHeight="1">
      <c r="A614" s="102" t="s">
        <v>602</v>
      </c>
      <c r="B614" s="102"/>
      <c r="C614" s="102"/>
      <c r="D614" s="102"/>
      <c r="E614" s="102"/>
      <c r="F614" s="102"/>
      <c r="G614" s="160"/>
      <c r="H614" s="160"/>
      <c r="I614" s="160"/>
      <c r="J614" s="160"/>
      <c r="K614" s="160"/>
      <c r="L614" s="186">
        <v>-9904569.6899999995</v>
      </c>
      <c r="M614" s="102"/>
      <c r="N614" s="102"/>
      <c r="O614" s="102"/>
      <c r="P614" s="102"/>
      <c r="Q614" s="102"/>
      <c r="R614" s="102"/>
      <c r="S614" s="102"/>
      <c r="T614" s="102"/>
      <c r="U614" s="102"/>
      <c r="V614" s="102"/>
      <c r="W614" s="102"/>
      <c r="X614" s="102"/>
      <c r="Y614" s="102"/>
      <c r="Z614" s="102"/>
      <c r="AA614" s="102"/>
      <c r="AB614" s="102"/>
      <c r="AC614" s="102"/>
      <c r="AD614" s="102"/>
      <c r="AE614" s="102"/>
      <c r="AF614" s="102"/>
    </row>
  </sheetData>
  <autoFilter ref="A544:AF614" xr:uid="{BC2C512C-C301-4852-AF8A-AE4A11AFEDB5}"/>
  <sortState xmlns:xlrd2="http://schemas.microsoft.com/office/spreadsheetml/2017/richdata2" ref="A422:AF448">
    <sortCondition ref="B422:B448"/>
  </sortState>
  <customSheetViews>
    <customSheetView guid="{3E7D2425-DF29-48A5-8E4F-453269C0181F}">
      <selection activeCell="I15" sqref="I15"/>
      <pageMargins left="0.7" right="0.7" top="0.75" bottom="0.75" header="0.3" footer="0.3"/>
      <pageSetup orientation="portrait" horizontalDpi="90" verticalDpi="90" r:id="rId1"/>
    </customSheetView>
    <customSheetView guid="{32DB0659-95CA-464A-A9E5-65C29D151BE4}" topLeftCell="A420">
      <selection activeCell="D446" sqref="D446"/>
      <pageMargins left="0.7" right="0.7" top="0.75" bottom="0.75" header="0.3" footer="0.3"/>
      <pageSetup orientation="portrait" horizontalDpi="90" verticalDpi="90" r:id="rId2"/>
    </customSheetView>
    <customSheetView guid="{06CC192D-486E-4A0B-A9B7-ADD9AC2DD655}" showPageBreaks="1">
      <selection activeCell="I15" sqref="I15"/>
      <pageMargins left="0.7" right="0.7" top="0.75" bottom="0.75" header="0.3" footer="0.3"/>
      <pageSetup orientation="portrait" horizontalDpi="90" verticalDpi="90" r:id="rId3"/>
    </customSheetView>
    <customSheetView guid="{49BE8609-8A6F-45AF-B04A-D50C5E8ACCA5}" topLeftCell="A155">
      <selection activeCell="H175" sqref="H175"/>
      <pageMargins left="0.7" right="0.7" top="0.75" bottom="0.75" header="0.3" footer="0.3"/>
      <pageSetup orientation="portrait" horizontalDpi="90" verticalDpi="90" r:id="rId4"/>
    </customSheetView>
    <customSheetView guid="{2E87D9A1-0A21-4C5A-A792-7570A50008B7}" topLeftCell="A85">
      <selection activeCell="M94" sqref="M94"/>
      <pageMargins left="0.7" right="0.7" top="0.75" bottom="0.75" header="0.3" footer="0.3"/>
      <pageSetup orientation="portrait" horizontalDpi="90" verticalDpi="90" r:id="rId5"/>
    </customSheetView>
    <customSheetView guid="{A38639FA-D138-4554-858F-951B7BE56A15}" topLeftCell="A45">
      <selection activeCell="H56" sqref="H56"/>
      <pageMargins left="0.7" right="0.7" top="0.75" bottom="0.75" header="0.3" footer="0.3"/>
      <pageSetup orientation="portrait" horizontalDpi="90" verticalDpi="90" r:id="rId6"/>
    </customSheetView>
    <customSheetView guid="{529DBED2-7F14-4DC1-BD8C-88C4DA357099}">
      <selection activeCell="I15" sqref="I15"/>
      <pageMargins left="0.7" right="0.7" top="0.75" bottom="0.75" header="0.3" footer="0.3"/>
      <pageSetup orientation="portrait" horizontalDpi="90" verticalDpi="90" r:id="rId7"/>
    </customSheetView>
    <customSheetView guid="{751C391B-F5E8-4956-8561-2BAF40BC80F0}">
      <selection activeCell="I15" sqref="I15"/>
      <pageMargins left="0.7" right="0.7" top="0.75" bottom="0.75" header="0.3" footer="0.3"/>
      <pageSetup orientation="portrait" horizontalDpi="90" verticalDpi="90" r:id="rId8"/>
    </customSheetView>
    <customSheetView guid="{80BED788-9A90-4118-A079-D87F7EB8380A}">
      <selection activeCell="I15" sqref="I15"/>
      <pageMargins left="0.7" right="0.7" top="0.75" bottom="0.75" header="0.3" footer="0.3"/>
      <pageSetup orientation="portrait" horizontalDpi="90" verticalDpi="90" r:id="rId9"/>
    </customSheetView>
    <customSheetView guid="{3D1397D4-6E14-422B-BF17-85500BB6C48E}" topLeftCell="A85">
      <selection activeCell="M94" sqref="M94"/>
      <pageMargins left="0.7" right="0.7" top="0.75" bottom="0.75" header="0.3" footer="0.3"/>
      <pageSetup orientation="portrait" horizontalDpi="90" verticalDpi="90" r:id="rId10"/>
    </customSheetView>
    <customSheetView guid="{87D2D016-5049-4054-85DB-0FB21C149DBE}" topLeftCell="A155">
      <selection activeCell="H175" sqref="H175"/>
      <pageMargins left="0.7" right="0.7" top="0.75" bottom="0.75" header="0.3" footer="0.3"/>
      <pageSetup orientation="portrait" horizontalDpi="90" verticalDpi="90" r:id="rId11"/>
    </customSheetView>
    <customSheetView guid="{DF44DCB1-0A30-4B1A-B2AB-311F6E2FC08A}" topLeftCell="A155">
      <selection activeCell="H175" sqref="H175"/>
      <pageMargins left="0.7" right="0.7" top="0.75" bottom="0.75" header="0.3" footer="0.3"/>
      <pageSetup orientation="portrait" horizontalDpi="90" verticalDpi="90" r:id="rId12"/>
    </customSheetView>
    <customSheetView guid="{DDFEC649-94B4-4AA7-8FA0-4F0C72DB351E}">
      <selection activeCell="I15" sqref="I15"/>
      <pageMargins left="0.7" right="0.7" top="0.75" bottom="0.75" header="0.3" footer="0.3"/>
      <pageSetup orientation="portrait" horizontalDpi="90" verticalDpi="90" r:id="rId13"/>
    </customSheetView>
    <customSheetView guid="{B0FD7D71-8FB9-4DAB-9956-8301F0AAA345}" topLeftCell="A420">
      <selection activeCell="D446" sqref="D446"/>
      <pageMargins left="0.7" right="0.7" top="0.75" bottom="0.75" header="0.3" footer="0.3"/>
      <pageSetup orientation="portrait" horizontalDpi="90" verticalDpi="90" r:id="rId14"/>
    </customSheetView>
    <customSheetView guid="{2D5DCD2C-90EA-4D42-81FC-740192C56039}">
      <selection activeCell="I15" sqref="I15"/>
      <pageMargins left="0.7" right="0.7" top="0.75" bottom="0.75" header="0.3" footer="0.3"/>
      <pageSetup orientation="portrait" horizontalDpi="90" verticalDpi="90" r:id="rId15"/>
    </customSheetView>
  </customSheetViews>
  <pageMargins left="0.7" right="0.7" top="0.75" bottom="0.75" header="0.3" footer="0.3"/>
  <pageSetup orientation="portrait" horizontalDpi="90" verticalDpi="90" r:id="rId16"/>
  <customProperties>
    <customPr name="_pios_id" r:id="rId17"/>
    <customPr name="EpmWorksheetKeyString_GUID" r:id="rId18"/>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H531"/>
  <sheetViews>
    <sheetView workbookViewId="0">
      <selection activeCell="C102" sqref="C102"/>
    </sheetView>
  </sheetViews>
  <sheetFormatPr defaultRowHeight="12.75"/>
  <cols>
    <col min="2" max="2" width="30.140625" bestFit="1" customWidth="1"/>
    <col min="6" max="6" width="6" bestFit="1" customWidth="1"/>
    <col min="7" max="7" width="20.42578125" bestFit="1" customWidth="1"/>
  </cols>
  <sheetData>
    <row r="1" spans="1:8">
      <c r="A1" s="1" t="s">
        <v>81</v>
      </c>
      <c r="B1" s="1" t="s">
        <v>82</v>
      </c>
      <c r="C1" t="s">
        <v>685</v>
      </c>
      <c r="F1" t="s">
        <v>628</v>
      </c>
      <c r="G1" t="s">
        <v>689</v>
      </c>
      <c r="H1" t="s">
        <v>694</v>
      </c>
    </row>
    <row r="2" spans="1:8">
      <c r="A2" s="22">
        <v>12204</v>
      </c>
      <c r="B2" s="10" t="s">
        <v>83</v>
      </c>
      <c r="C2" t="str">
        <f>IF(ISNA(VLOOKUP(A2,$F$2:$H$120,3,FALSE)),"WF",VLOOKUP(A2,$F$2:$H$120,3,FALSE))</f>
        <v>CPP</v>
      </c>
      <c r="F2">
        <v>12204</v>
      </c>
      <c r="G2" t="s">
        <v>83</v>
      </c>
      <c r="H2" t="s">
        <v>683</v>
      </c>
    </row>
    <row r="3" spans="1:8">
      <c r="A3" s="22">
        <v>12205</v>
      </c>
      <c r="B3" s="10" t="s">
        <v>84</v>
      </c>
      <c r="C3" t="str">
        <f t="shared" ref="C3:C66" si="0">IF(ISNA(VLOOKUP(A3,$F$2:$H$120,3,FALSE)),"WF",VLOOKUP(A3,$F$2:$H$120,3,FALSE))</f>
        <v>SWII</v>
      </c>
      <c r="F3">
        <v>12205</v>
      </c>
      <c r="G3" t="s">
        <v>84</v>
      </c>
      <c r="H3" t="s">
        <v>686</v>
      </c>
    </row>
    <row r="4" spans="1:8">
      <c r="A4" s="22">
        <v>12206</v>
      </c>
      <c r="B4" s="10" t="s">
        <v>85</v>
      </c>
      <c r="C4" t="str">
        <f t="shared" si="0"/>
        <v>OC</v>
      </c>
      <c r="F4">
        <v>12205</v>
      </c>
      <c r="G4" t="str">
        <f>VLOOKUP(F4,BU,2,FALSE)</f>
        <v>Belden Village</v>
      </c>
      <c r="H4" t="s">
        <v>690</v>
      </c>
    </row>
    <row r="5" spans="1:8">
      <c r="A5" s="22">
        <v>12207</v>
      </c>
      <c r="B5" s="10" t="s">
        <v>86</v>
      </c>
      <c r="C5" t="str">
        <f t="shared" si="0"/>
        <v>OC</v>
      </c>
      <c r="F5">
        <v>12206</v>
      </c>
      <c r="G5" t="s">
        <v>85</v>
      </c>
      <c r="H5" t="s">
        <v>684</v>
      </c>
    </row>
    <row r="6" spans="1:8">
      <c r="A6" s="22">
        <v>12208</v>
      </c>
      <c r="B6" s="10" t="s">
        <v>87</v>
      </c>
      <c r="C6" t="str">
        <f t="shared" si="0"/>
        <v>SWII</v>
      </c>
      <c r="F6">
        <v>12207</v>
      </c>
      <c r="G6" t="s">
        <v>86</v>
      </c>
      <c r="H6" t="s">
        <v>684</v>
      </c>
    </row>
    <row r="7" spans="1:8">
      <c r="A7" s="22">
        <v>12209</v>
      </c>
      <c r="B7" s="10" t="s">
        <v>88</v>
      </c>
      <c r="C7" t="str">
        <f t="shared" si="0"/>
        <v>SWII</v>
      </c>
      <c r="F7">
        <v>12208</v>
      </c>
      <c r="G7" t="s">
        <v>87</v>
      </c>
      <c r="H7" t="s">
        <v>686</v>
      </c>
    </row>
    <row r="8" spans="1:8">
      <c r="A8" s="22">
        <v>12210</v>
      </c>
      <c r="B8" s="10" t="s">
        <v>89</v>
      </c>
      <c r="C8" t="str">
        <f t="shared" si="0"/>
        <v>SWII</v>
      </c>
      <c r="F8">
        <v>12208</v>
      </c>
      <c r="G8" t="str">
        <f>VLOOKUP(F8,BU,2,FALSE)</f>
        <v>Capital</v>
      </c>
      <c r="H8" t="s">
        <v>690</v>
      </c>
    </row>
    <row r="9" spans="1:8">
      <c r="A9" s="22">
        <v>12211</v>
      </c>
      <c r="B9" s="10" t="s">
        <v>90</v>
      </c>
      <c r="C9" t="str">
        <f t="shared" si="0"/>
        <v>WF</v>
      </c>
      <c r="F9">
        <v>12209</v>
      </c>
      <c r="G9" t="s">
        <v>88</v>
      </c>
      <c r="H9" t="s">
        <v>686</v>
      </c>
    </row>
    <row r="10" spans="1:8">
      <c r="A10" s="22">
        <v>12212</v>
      </c>
      <c r="B10" s="10" t="s">
        <v>91</v>
      </c>
      <c r="C10" t="str">
        <f t="shared" si="0"/>
        <v>WF</v>
      </c>
      <c r="F10">
        <v>12209</v>
      </c>
      <c r="G10" t="str">
        <f>VLOOKUP(F10,BU,2,FALSE)</f>
        <v>Capital - Mervyn's</v>
      </c>
      <c r="H10" t="s">
        <v>690</v>
      </c>
    </row>
    <row r="11" spans="1:8">
      <c r="A11" s="22">
        <v>12213</v>
      </c>
      <c r="B11" s="10" t="s">
        <v>92</v>
      </c>
      <c r="C11" t="str">
        <f t="shared" si="0"/>
        <v>Sold</v>
      </c>
      <c r="F11">
        <v>12210</v>
      </c>
      <c r="G11" t="s">
        <v>89</v>
      </c>
      <c r="H11" t="s">
        <v>686</v>
      </c>
    </row>
    <row r="12" spans="1:8">
      <c r="A12" s="22">
        <v>12214</v>
      </c>
      <c r="B12" s="10" t="s">
        <v>93</v>
      </c>
      <c r="C12" t="str">
        <f t="shared" si="0"/>
        <v>SWI</v>
      </c>
      <c r="F12">
        <v>12210</v>
      </c>
      <c r="G12" t="str">
        <f>VLOOKUP(F12,BU,2,FALSE)</f>
        <v>Capital Promenade</v>
      </c>
      <c r="H12" t="s">
        <v>690</v>
      </c>
    </row>
    <row r="13" spans="1:8">
      <c r="A13" s="22">
        <v>12215</v>
      </c>
      <c r="B13" s="10" t="s">
        <v>94</v>
      </c>
      <c r="C13" t="str">
        <f t="shared" si="0"/>
        <v>OC</v>
      </c>
      <c r="F13">
        <v>12213</v>
      </c>
      <c r="G13" t="str">
        <f>VLOOKUP(F13,BU,2,FALSE)</f>
        <v>Chesterfield</v>
      </c>
      <c r="H13" t="s">
        <v>690</v>
      </c>
    </row>
    <row r="14" spans="1:8">
      <c r="A14" s="22">
        <v>12216</v>
      </c>
      <c r="B14" s="10" t="s">
        <v>95</v>
      </c>
      <c r="C14" t="str">
        <f t="shared" si="0"/>
        <v>WF</v>
      </c>
      <c r="F14">
        <v>12214</v>
      </c>
      <c r="G14" t="s">
        <v>93</v>
      </c>
      <c r="H14" t="s">
        <v>687</v>
      </c>
    </row>
    <row r="15" spans="1:8">
      <c r="A15" s="22">
        <v>12217</v>
      </c>
      <c r="B15" s="10" t="s">
        <v>96</v>
      </c>
      <c r="C15" t="str">
        <f t="shared" si="0"/>
        <v>OC</v>
      </c>
      <c r="F15">
        <v>12214</v>
      </c>
      <c r="G15" t="str">
        <f>VLOOKUP(F15,BU,2,FALSE)</f>
        <v>Chicago Ridge</v>
      </c>
      <c r="H15" t="s">
        <v>690</v>
      </c>
    </row>
    <row r="16" spans="1:8">
      <c r="A16" s="22">
        <v>12218</v>
      </c>
      <c r="B16" s="10" t="s">
        <v>97</v>
      </c>
      <c r="C16" t="str">
        <f t="shared" si="0"/>
        <v>Sold</v>
      </c>
      <c r="F16">
        <v>12215</v>
      </c>
      <c r="G16" t="s">
        <v>94</v>
      </c>
      <c r="H16" t="s">
        <v>684</v>
      </c>
    </row>
    <row r="17" spans="1:8">
      <c r="A17" s="22">
        <v>12219</v>
      </c>
      <c r="B17" s="10" t="s">
        <v>98</v>
      </c>
      <c r="C17" t="str">
        <f t="shared" si="0"/>
        <v>Sold</v>
      </c>
      <c r="F17">
        <v>12217</v>
      </c>
      <c r="G17" t="s">
        <v>96</v>
      </c>
      <c r="H17" t="s">
        <v>684</v>
      </c>
    </row>
    <row r="18" spans="1:8">
      <c r="A18" s="22">
        <v>12220</v>
      </c>
      <c r="B18" s="10" t="s">
        <v>99</v>
      </c>
      <c r="C18" t="str">
        <f t="shared" si="0"/>
        <v>Sold</v>
      </c>
      <c r="F18">
        <v>12218</v>
      </c>
      <c r="G18" t="str">
        <f t="shared" ref="G18:G27" si="1">VLOOKUP(F18,BU,2,FALSE)</f>
        <v>Crestwood</v>
      </c>
      <c r="H18" t="s">
        <v>690</v>
      </c>
    </row>
    <row r="19" spans="1:8">
      <c r="A19" s="22">
        <v>12221</v>
      </c>
      <c r="B19" s="10" t="s">
        <v>100</v>
      </c>
      <c r="C19" t="str">
        <f t="shared" si="0"/>
        <v>Sold</v>
      </c>
      <c r="F19">
        <v>12219</v>
      </c>
      <c r="G19" t="str">
        <f t="shared" si="1"/>
        <v>Downtown Office #1</v>
      </c>
      <c r="H19" t="s">
        <v>690</v>
      </c>
    </row>
    <row r="20" spans="1:8">
      <c r="A20" s="22">
        <v>12222</v>
      </c>
      <c r="B20" s="10" t="s">
        <v>101</v>
      </c>
      <c r="C20" t="str">
        <f t="shared" si="0"/>
        <v>Sold</v>
      </c>
      <c r="F20">
        <v>12220</v>
      </c>
      <c r="G20" t="str">
        <f t="shared" si="1"/>
        <v>Downtown Office #2</v>
      </c>
      <c r="H20" t="s">
        <v>690</v>
      </c>
    </row>
    <row r="21" spans="1:8">
      <c r="A21" s="22">
        <v>12223</v>
      </c>
      <c r="B21" s="10" t="s">
        <v>102</v>
      </c>
      <c r="C21" t="str">
        <f t="shared" si="0"/>
        <v>Sold</v>
      </c>
      <c r="F21">
        <v>12221</v>
      </c>
      <c r="G21" t="str">
        <f t="shared" si="1"/>
        <v>Downtown Office #3</v>
      </c>
      <c r="H21" t="s">
        <v>690</v>
      </c>
    </row>
    <row r="22" spans="1:8">
      <c r="A22" s="22">
        <v>12224</v>
      </c>
      <c r="B22" s="10" t="s">
        <v>103</v>
      </c>
      <c r="C22" t="str">
        <f t="shared" si="0"/>
        <v>Sold</v>
      </c>
      <c r="F22">
        <v>12222</v>
      </c>
      <c r="G22" t="str">
        <f t="shared" si="1"/>
        <v>Downtown Plaza</v>
      </c>
      <c r="H22" t="s">
        <v>690</v>
      </c>
    </row>
    <row r="23" spans="1:8">
      <c r="A23" s="22">
        <v>12225</v>
      </c>
      <c r="B23" s="10" t="s">
        <v>104</v>
      </c>
      <c r="C23" t="str">
        <f t="shared" si="0"/>
        <v>Sold</v>
      </c>
      <c r="F23">
        <v>12223</v>
      </c>
      <c r="G23" t="str">
        <f t="shared" si="1"/>
        <v>Eagle Rock</v>
      </c>
      <c r="H23" t="s">
        <v>690</v>
      </c>
    </row>
    <row r="24" spans="1:8">
      <c r="A24" s="22">
        <v>12226</v>
      </c>
      <c r="B24" s="10" t="s">
        <v>105</v>
      </c>
      <c r="C24" t="str">
        <f t="shared" si="0"/>
        <v>Sold</v>
      </c>
      <c r="F24">
        <v>12224</v>
      </c>
      <c r="G24" t="str">
        <f t="shared" si="1"/>
        <v>Eastland</v>
      </c>
      <c r="H24" t="s">
        <v>690</v>
      </c>
    </row>
    <row r="25" spans="1:8">
      <c r="A25" s="22">
        <v>12227</v>
      </c>
      <c r="B25" s="10" t="s">
        <v>106</v>
      </c>
      <c r="C25" t="str">
        <f t="shared" si="0"/>
        <v>Sold</v>
      </c>
      <c r="F25">
        <v>12225</v>
      </c>
      <c r="G25" t="str">
        <f t="shared" si="1"/>
        <v>Eastridge</v>
      </c>
      <c r="H25" t="s">
        <v>690</v>
      </c>
    </row>
    <row r="26" spans="1:8">
      <c r="A26" s="22">
        <v>12228</v>
      </c>
      <c r="B26" s="10" t="s">
        <v>107</v>
      </c>
      <c r="C26" t="str">
        <f t="shared" si="0"/>
        <v>CPP</v>
      </c>
      <c r="F26">
        <v>12226</v>
      </c>
      <c r="G26" t="str">
        <f t="shared" si="1"/>
        <v>Enfield</v>
      </c>
      <c r="H26" t="s">
        <v>690</v>
      </c>
    </row>
    <row r="27" spans="1:8">
      <c r="A27" s="22">
        <v>12229</v>
      </c>
      <c r="B27" s="10" t="s">
        <v>108</v>
      </c>
      <c r="C27" t="str">
        <f t="shared" si="0"/>
        <v>WF</v>
      </c>
      <c r="F27">
        <v>12227</v>
      </c>
      <c r="G27" t="str">
        <f t="shared" si="1"/>
        <v>Enfield Land</v>
      </c>
      <c r="H27" t="s">
        <v>690</v>
      </c>
    </row>
    <row r="28" spans="1:8">
      <c r="A28" s="22">
        <v>12230</v>
      </c>
      <c r="B28" s="10" t="s">
        <v>109</v>
      </c>
      <c r="C28" t="str">
        <f t="shared" si="0"/>
        <v>CPP</v>
      </c>
      <c r="F28">
        <v>12228</v>
      </c>
      <c r="G28" t="s">
        <v>107</v>
      </c>
      <c r="H28" t="s">
        <v>683</v>
      </c>
    </row>
    <row r="29" spans="1:8">
      <c r="A29" s="22">
        <v>12231</v>
      </c>
      <c r="B29" s="10" t="s">
        <v>110</v>
      </c>
      <c r="C29" t="str">
        <f t="shared" si="0"/>
        <v>WF</v>
      </c>
      <c r="F29">
        <v>12230</v>
      </c>
      <c r="G29" t="s">
        <v>637</v>
      </c>
      <c r="H29" t="s">
        <v>683</v>
      </c>
    </row>
    <row r="30" spans="1:8">
      <c r="A30" s="22">
        <v>12232</v>
      </c>
      <c r="B30" s="10" t="s">
        <v>111</v>
      </c>
      <c r="C30" t="str">
        <f t="shared" si="0"/>
        <v>WF</v>
      </c>
      <c r="F30">
        <v>12233</v>
      </c>
      <c r="G30" t="s">
        <v>112</v>
      </c>
      <c r="H30" t="s">
        <v>686</v>
      </c>
    </row>
    <row r="31" spans="1:8">
      <c r="A31" s="22">
        <v>12233</v>
      </c>
      <c r="B31" s="10" t="s">
        <v>112</v>
      </c>
      <c r="C31" t="str">
        <f t="shared" si="0"/>
        <v>SWII</v>
      </c>
      <c r="F31">
        <v>12233</v>
      </c>
      <c r="G31" t="str">
        <f>VLOOKUP(F31,BU,2,FALSE)</f>
        <v>Franklin Park</v>
      </c>
      <c r="H31" t="s">
        <v>690</v>
      </c>
    </row>
    <row r="32" spans="1:8">
      <c r="A32" s="22">
        <v>12234</v>
      </c>
      <c r="B32" s="10" t="s">
        <v>113</v>
      </c>
      <c r="C32" t="str">
        <f t="shared" si="0"/>
        <v>WF</v>
      </c>
      <c r="F32">
        <v>12235</v>
      </c>
      <c r="G32" t="s">
        <v>114</v>
      </c>
      <c r="H32" t="s">
        <v>691</v>
      </c>
    </row>
    <row r="33" spans="1:8">
      <c r="A33" s="22">
        <v>12235</v>
      </c>
      <c r="B33" s="10" t="s">
        <v>114</v>
      </c>
      <c r="C33" t="str">
        <f t="shared" si="0"/>
        <v>PRUK</v>
      </c>
      <c r="F33">
        <v>12236</v>
      </c>
      <c r="G33" t="s">
        <v>115</v>
      </c>
      <c r="H33" t="s">
        <v>687</v>
      </c>
    </row>
    <row r="34" spans="1:8">
      <c r="A34" s="22">
        <v>12236</v>
      </c>
      <c r="B34" s="10" t="s">
        <v>115</v>
      </c>
      <c r="C34" t="str">
        <f t="shared" si="0"/>
        <v>SWI</v>
      </c>
      <c r="F34">
        <v>12236</v>
      </c>
      <c r="G34" t="str">
        <f>VLOOKUP(F34,BU,2,FALSE)</f>
        <v>Gateway</v>
      </c>
      <c r="H34" t="s">
        <v>690</v>
      </c>
    </row>
    <row r="35" spans="1:8">
      <c r="A35" s="22">
        <v>12237</v>
      </c>
      <c r="B35" s="10" t="s">
        <v>116</v>
      </c>
      <c r="C35" t="str">
        <f t="shared" si="0"/>
        <v>WF</v>
      </c>
      <c r="F35">
        <v>12238</v>
      </c>
      <c r="G35" t="s">
        <v>117</v>
      </c>
      <c r="H35" t="s">
        <v>686</v>
      </c>
    </row>
    <row r="36" spans="1:8">
      <c r="A36" s="22">
        <v>12238</v>
      </c>
      <c r="B36" s="10" t="s">
        <v>117</v>
      </c>
      <c r="C36" t="str">
        <f t="shared" si="0"/>
        <v>SWII</v>
      </c>
      <c r="F36">
        <v>12238</v>
      </c>
      <c r="G36" t="str">
        <f>VLOOKUP(F36,BU,2,FALSE)</f>
        <v>Great Northern</v>
      </c>
      <c r="H36" t="s">
        <v>690</v>
      </c>
    </row>
    <row r="37" spans="1:8">
      <c r="A37" s="22">
        <v>12239</v>
      </c>
      <c r="B37" s="10" t="s">
        <v>118</v>
      </c>
      <c r="C37" t="str">
        <f t="shared" si="0"/>
        <v>SWI</v>
      </c>
      <c r="F37">
        <v>12239</v>
      </c>
      <c r="G37" t="s">
        <v>118</v>
      </c>
      <c r="H37" t="s">
        <v>687</v>
      </c>
    </row>
    <row r="38" spans="1:8">
      <c r="A38" s="22">
        <v>12240</v>
      </c>
      <c r="B38" s="10" t="s">
        <v>119</v>
      </c>
      <c r="C38" t="str">
        <f t="shared" si="0"/>
        <v>WF</v>
      </c>
      <c r="F38">
        <v>12239</v>
      </c>
      <c r="G38" t="str">
        <f>VLOOKUP(F38,BU,2,FALSE)</f>
        <v>Green Tree Office</v>
      </c>
      <c r="H38" t="s">
        <v>690</v>
      </c>
    </row>
    <row r="39" spans="1:8">
      <c r="A39" s="22">
        <v>12241</v>
      </c>
      <c r="B39" s="10" t="s">
        <v>120</v>
      </c>
      <c r="C39" t="str">
        <f t="shared" si="0"/>
        <v>WF</v>
      </c>
      <c r="F39">
        <v>12242</v>
      </c>
      <c r="G39" t="s">
        <v>121</v>
      </c>
      <c r="H39" t="s">
        <v>683</v>
      </c>
    </row>
    <row r="40" spans="1:8">
      <c r="A40" s="22">
        <v>12242</v>
      </c>
      <c r="B40" s="10" t="s">
        <v>121</v>
      </c>
      <c r="C40" t="str">
        <f t="shared" si="0"/>
        <v>CPP</v>
      </c>
      <c r="F40">
        <v>12243</v>
      </c>
      <c r="G40" t="s">
        <v>122</v>
      </c>
      <c r="H40" t="s">
        <v>683</v>
      </c>
    </row>
    <row r="41" spans="1:8">
      <c r="A41" s="22">
        <v>12243</v>
      </c>
      <c r="B41" s="10" t="s">
        <v>122</v>
      </c>
      <c r="C41" t="str">
        <f t="shared" si="0"/>
        <v>CPP</v>
      </c>
      <c r="F41">
        <v>12244</v>
      </c>
      <c r="G41" t="s">
        <v>123</v>
      </c>
      <c r="H41" t="s">
        <v>683</v>
      </c>
    </row>
    <row r="42" spans="1:8">
      <c r="A42" s="22">
        <v>12244</v>
      </c>
      <c r="B42" s="10" t="s">
        <v>123</v>
      </c>
      <c r="C42" t="str">
        <f t="shared" si="0"/>
        <v>CPP</v>
      </c>
      <c r="F42">
        <v>12245</v>
      </c>
      <c r="G42" t="str">
        <f>VLOOKUP(F42,BU,2,FALSE)</f>
        <v>Independence</v>
      </c>
      <c r="H42" t="s">
        <v>690</v>
      </c>
    </row>
    <row r="43" spans="1:8">
      <c r="A43" s="22">
        <v>12245</v>
      </c>
      <c r="B43" s="10" t="s">
        <v>124</v>
      </c>
      <c r="C43" t="str">
        <f t="shared" si="0"/>
        <v>Sold</v>
      </c>
      <c r="F43">
        <v>12246</v>
      </c>
      <c r="G43" t="s">
        <v>125</v>
      </c>
      <c r="H43" t="s">
        <v>687</v>
      </c>
    </row>
    <row r="44" spans="1:8">
      <c r="A44" s="22">
        <v>12246</v>
      </c>
      <c r="B44" s="10" t="s">
        <v>125</v>
      </c>
      <c r="C44" t="str">
        <f t="shared" si="0"/>
        <v>SWI</v>
      </c>
      <c r="F44">
        <v>12246</v>
      </c>
      <c r="G44" t="str">
        <f>VLOOKUP(F44,BU,2,FALSE)</f>
        <v>Louis Joliet</v>
      </c>
      <c r="H44" t="s">
        <v>690</v>
      </c>
    </row>
    <row r="45" spans="1:8">
      <c r="A45" s="22">
        <v>12247</v>
      </c>
      <c r="B45" s="10" t="s">
        <v>126</v>
      </c>
      <c r="C45" t="str">
        <f t="shared" si="0"/>
        <v>WF</v>
      </c>
      <c r="F45">
        <v>12250</v>
      </c>
      <c r="G45" t="s">
        <v>129</v>
      </c>
      <c r="H45" t="s">
        <v>687</v>
      </c>
    </row>
    <row r="46" spans="1:8">
      <c r="A46" s="22">
        <v>12248</v>
      </c>
      <c r="B46" s="10" t="s">
        <v>127</v>
      </c>
      <c r="C46" t="str">
        <f t="shared" si="0"/>
        <v>WF</v>
      </c>
      <c r="F46">
        <v>12250</v>
      </c>
      <c r="G46" t="str">
        <f>VLOOKUP(F46,BU,2,FALSE)</f>
        <v>Metreon</v>
      </c>
      <c r="H46" t="s">
        <v>690</v>
      </c>
    </row>
    <row r="47" spans="1:8">
      <c r="A47" s="22">
        <v>12249</v>
      </c>
      <c r="B47" s="10" t="s">
        <v>128</v>
      </c>
      <c r="C47" t="str">
        <f t="shared" si="0"/>
        <v>WF</v>
      </c>
      <c r="F47">
        <v>12251</v>
      </c>
      <c r="G47" t="str">
        <f>VLOOKUP(F47,BU,2,FALSE)</f>
        <v>Mid Rivers</v>
      </c>
      <c r="H47" t="s">
        <v>690</v>
      </c>
    </row>
    <row r="48" spans="1:8">
      <c r="A48" s="22">
        <v>12250</v>
      </c>
      <c r="B48" s="10" t="s">
        <v>129</v>
      </c>
      <c r="C48" t="str">
        <f t="shared" si="0"/>
        <v>SWI</v>
      </c>
      <c r="F48">
        <v>12252</v>
      </c>
      <c r="G48" t="str">
        <f>VLOOKUP(F48,BU,2,FALSE)</f>
        <v>Midway</v>
      </c>
      <c r="H48" t="s">
        <v>690</v>
      </c>
    </row>
    <row r="49" spans="1:8">
      <c r="A49" s="22">
        <v>12251</v>
      </c>
      <c r="B49" s="10" t="s">
        <v>130</v>
      </c>
      <c r="C49" t="str">
        <f t="shared" si="0"/>
        <v>Sold</v>
      </c>
      <c r="F49">
        <v>12253</v>
      </c>
      <c r="G49" t="s">
        <v>132</v>
      </c>
      <c r="H49" t="s">
        <v>683</v>
      </c>
    </row>
    <row r="50" spans="1:8">
      <c r="A50" s="22">
        <v>12252</v>
      </c>
      <c r="B50" s="10" t="s">
        <v>131</v>
      </c>
      <c r="C50" t="str">
        <f t="shared" si="0"/>
        <v>Sold</v>
      </c>
      <c r="F50">
        <v>12254</v>
      </c>
      <c r="G50" t="s">
        <v>133</v>
      </c>
      <c r="H50" t="s">
        <v>683</v>
      </c>
    </row>
    <row r="51" spans="1:8">
      <c r="A51" s="22">
        <v>12253</v>
      </c>
      <c r="B51" s="10" t="s">
        <v>132</v>
      </c>
      <c r="C51" t="str">
        <f t="shared" si="0"/>
        <v>CPP</v>
      </c>
      <c r="F51">
        <v>12257</v>
      </c>
      <c r="G51" t="str">
        <f t="shared" ref="G51:G56" si="2">VLOOKUP(F51,BU,2,FALSE)</f>
        <v>North Bridge - Block 116</v>
      </c>
      <c r="H51" t="s">
        <v>690</v>
      </c>
    </row>
    <row r="52" spans="1:8">
      <c r="A52" s="22">
        <v>12254</v>
      </c>
      <c r="B52" s="10" t="s">
        <v>133</v>
      </c>
      <c r="C52" t="str">
        <f t="shared" si="0"/>
        <v>CPP</v>
      </c>
      <c r="F52">
        <v>12258</v>
      </c>
      <c r="G52" t="str">
        <f t="shared" si="2"/>
        <v>North Bridge - Block 119</v>
      </c>
      <c r="H52" t="s">
        <v>690</v>
      </c>
    </row>
    <row r="53" spans="1:8">
      <c r="A53" s="22">
        <v>12255</v>
      </c>
      <c r="B53" s="10" t="s">
        <v>134</v>
      </c>
      <c r="C53" t="str">
        <f t="shared" si="0"/>
        <v>WF</v>
      </c>
      <c r="F53">
        <v>12259</v>
      </c>
      <c r="G53" t="str">
        <f t="shared" si="2"/>
        <v>North Bridge - Block 120</v>
      </c>
      <c r="H53" t="s">
        <v>690</v>
      </c>
    </row>
    <row r="54" spans="1:8">
      <c r="A54" s="22">
        <v>12256</v>
      </c>
      <c r="B54" s="10" t="s">
        <v>135</v>
      </c>
      <c r="C54" t="str">
        <f t="shared" si="0"/>
        <v>WF</v>
      </c>
      <c r="F54">
        <v>12260</v>
      </c>
      <c r="G54" t="str">
        <f t="shared" si="2"/>
        <v>North Bridge - Block 121</v>
      </c>
      <c r="H54" t="s">
        <v>690</v>
      </c>
    </row>
    <row r="55" spans="1:8">
      <c r="A55" s="22">
        <v>12257</v>
      </c>
      <c r="B55" s="10" t="s">
        <v>136</v>
      </c>
      <c r="C55" t="str">
        <f t="shared" si="0"/>
        <v>Sold</v>
      </c>
      <c r="F55">
        <v>12261</v>
      </c>
      <c r="G55" t="str">
        <f t="shared" si="2"/>
        <v>North Bridge - Block 124</v>
      </c>
      <c r="H55" t="s">
        <v>690</v>
      </c>
    </row>
    <row r="56" spans="1:8">
      <c r="A56" s="22">
        <v>12258</v>
      </c>
      <c r="B56" s="10" t="s">
        <v>137</v>
      </c>
      <c r="C56" t="str">
        <f t="shared" si="0"/>
        <v>Sold</v>
      </c>
      <c r="F56">
        <v>12262</v>
      </c>
      <c r="G56" t="str">
        <f t="shared" si="2"/>
        <v>North Bridge - Block 125</v>
      </c>
      <c r="H56" t="s">
        <v>690</v>
      </c>
    </row>
    <row r="57" spans="1:8">
      <c r="A57" s="22">
        <v>12259</v>
      </c>
      <c r="B57" s="10" t="s">
        <v>138</v>
      </c>
      <c r="C57" t="str">
        <f t="shared" si="0"/>
        <v>Sold</v>
      </c>
      <c r="F57">
        <v>12263</v>
      </c>
      <c r="G57" t="s">
        <v>142</v>
      </c>
      <c r="H57" t="s">
        <v>683</v>
      </c>
    </row>
    <row r="58" spans="1:8">
      <c r="A58" s="22">
        <v>12260</v>
      </c>
      <c r="B58" s="10" t="s">
        <v>139</v>
      </c>
      <c r="C58" t="str">
        <f t="shared" si="0"/>
        <v>Sold</v>
      </c>
      <c r="F58">
        <v>12264</v>
      </c>
      <c r="G58" t="str">
        <f>VLOOKUP(F58,BU,2,FALSE)</f>
        <v>Northwest</v>
      </c>
      <c r="H58" t="s">
        <v>690</v>
      </c>
    </row>
    <row r="59" spans="1:8">
      <c r="A59" s="22">
        <v>12261</v>
      </c>
      <c r="B59" s="10" t="s">
        <v>140</v>
      </c>
      <c r="C59" t="str">
        <f t="shared" si="0"/>
        <v>Sold</v>
      </c>
      <c r="F59">
        <v>12265</v>
      </c>
      <c r="G59" t="str">
        <f>VLOOKUP(F59,BU,2,FALSE)</f>
        <v>Northwest Office</v>
      </c>
      <c r="H59" t="s">
        <v>690</v>
      </c>
    </row>
    <row r="60" spans="1:8">
      <c r="A60" s="22">
        <v>12262</v>
      </c>
      <c r="B60" s="10" t="s">
        <v>141</v>
      </c>
      <c r="C60" t="str">
        <f t="shared" si="0"/>
        <v>Sold</v>
      </c>
      <c r="F60">
        <v>12266</v>
      </c>
      <c r="G60" t="s">
        <v>145</v>
      </c>
      <c r="H60" t="s">
        <v>683</v>
      </c>
    </row>
    <row r="61" spans="1:8">
      <c r="A61" s="22">
        <v>12263</v>
      </c>
      <c r="B61" s="10" t="s">
        <v>142</v>
      </c>
      <c r="C61" t="str">
        <f t="shared" si="0"/>
        <v>CPP</v>
      </c>
      <c r="F61">
        <v>12269</v>
      </c>
      <c r="G61" t="s">
        <v>148</v>
      </c>
      <c r="H61" t="s">
        <v>734</v>
      </c>
    </row>
    <row r="62" spans="1:8">
      <c r="A62" s="22">
        <v>12264</v>
      </c>
      <c r="B62" s="10" t="s">
        <v>143</v>
      </c>
      <c r="C62" t="str">
        <f t="shared" si="0"/>
        <v>Sold</v>
      </c>
      <c r="F62">
        <v>12270</v>
      </c>
      <c r="G62" t="s">
        <v>149</v>
      </c>
      <c r="H62" t="s">
        <v>686</v>
      </c>
    </row>
    <row r="63" spans="1:8">
      <c r="A63" s="22">
        <v>12265</v>
      </c>
      <c r="B63" s="10" t="s">
        <v>144</v>
      </c>
      <c r="C63" t="str">
        <f t="shared" si="0"/>
        <v>Sold</v>
      </c>
      <c r="F63">
        <v>12270</v>
      </c>
      <c r="G63" t="str">
        <f>VLOOKUP(F63,BU,2,FALSE)</f>
        <v>Parkway</v>
      </c>
      <c r="H63" t="s">
        <v>690</v>
      </c>
    </row>
    <row r="64" spans="1:8">
      <c r="A64" s="22">
        <v>12266</v>
      </c>
      <c r="B64" s="10" t="s">
        <v>145</v>
      </c>
      <c r="C64" t="str">
        <f t="shared" si="0"/>
        <v>CPP</v>
      </c>
      <c r="F64">
        <v>12271</v>
      </c>
      <c r="G64" t="s">
        <v>150</v>
      </c>
      <c r="H64" t="s">
        <v>683</v>
      </c>
    </row>
    <row r="65" spans="1:8">
      <c r="A65" s="22">
        <v>12267</v>
      </c>
      <c r="B65" s="10" t="s">
        <v>146</v>
      </c>
      <c r="C65" t="str">
        <f t="shared" si="0"/>
        <v>WF</v>
      </c>
      <c r="F65">
        <v>12272</v>
      </c>
      <c r="G65" t="s">
        <v>151</v>
      </c>
      <c r="H65" t="s">
        <v>683</v>
      </c>
    </row>
    <row r="66" spans="1:8">
      <c r="A66" s="22">
        <v>12268</v>
      </c>
      <c r="B66" s="10" t="s">
        <v>147</v>
      </c>
      <c r="C66" t="str">
        <f t="shared" si="0"/>
        <v>WF</v>
      </c>
      <c r="F66">
        <v>12275</v>
      </c>
      <c r="G66" t="s">
        <v>154</v>
      </c>
      <c r="H66" t="s">
        <v>683</v>
      </c>
    </row>
    <row r="67" spans="1:8">
      <c r="A67" s="22">
        <v>12269</v>
      </c>
      <c r="B67" s="10" t="s">
        <v>148</v>
      </c>
      <c r="C67" t="str">
        <f t="shared" ref="C67:C130" si="3">IF(ISNA(VLOOKUP(A67,$F$2:$H$120,3,FALSE)),"WF",VLOOKUP(A67,$F$2:$H$120,3,FALSE))</f>
        <v>OC2</v>
      </c>
      <c r="F67">
        <v>12276</v>
      </c>
      <c r="G67" t="str">
        <f>VLOOKUP(F67,BU,2,FALSE)</f>
        <v>Richland</v>
      </c>
      <c r="H67" t="s">
        <v>690</v>
      </c>
    </row>
    <row r="68" spans="1:8">
      <c r="A68" s="22">
        <v>12270</v>
      </c>
      <c r="B68" s="10" t="s">
        <v>149</v>
      </c>
      <c r="C68" t="str">
        <f t="shared" si="3"/>
        <v>SWII</v>
      </c>
      <c r="F68">
        <v>12277</v>
      </c>
      <c r="G68" t="s">
        <v>156</v>
      </c>
      <c r="H68" t="s">
        <v>692</v>
      </c>
    </row>
    <row r="69" spans="1:8">
      <c r="A69" s="22">
        <v>12271</v>
      </c>
      <c r="B69" s="10" t="s">
        <v>150</v>
      </c>
      <c r="C69" t="str">
        <f t="shared" si="3"/>
        <v>CPP</v>
      </c>
      <c r="F69">
        <v>12278</v>
      </c>
      <c r="G69" t="s">
        <v>157</v>
      </c>
      <c r="H69" t="s">
        <v>692</v>
      </c>
    </row>
    <row r="70" spans="1:8">
      <c r="A70" s="22">
        <v>12272</v>
      </c>
      <c r="B70" s="10" t="s">
        <v>151</v>
      </c>
      <c r="C70" t="str">
        <f t="shared" si="3"/>
        <v>CPP</v>
      </c>
      <c r="F70">
        <v>12279</v>
      </c>
      <c r="G70" t="s">
        <v>158</v>
      </c>
      <c r="H70" t="s">
        <v>692</v>
      </c>
    </row>
    <row r="71" spans="1:8">
      <c r="A71" s="22">
        <v>12273</v>
      </c>
      <c r="B71" s="10" t="s">
        <v>152</v>
      </c>
      <c r="C71" t="str">
        <f t="shared" si="3"/>
        <v>WF</v>
      </c>
      <c r="F71">
        <v>12280</v>
      </c>
      <c r="G71" t="s">
        <v>159</v>
      </c>
      <c r="H71" t="s">
        <v>683</v>
      </c>
    </row>
    <row r="72" spans="1:8">
      <c r="A72" s="22">
        <v>12274</v>
      </c>
      <c r="B72" s="10" t="s">
        <v>153</v>
      </c>
      <c r="C72" t="str">
        <f t="shared" si="3"/>
        <v>WF</v>
      </c>
      <c r="F72">
        <v>12281</v>
      </c>
      <c r="G72" t="s">
        <v>160</v>
      </c>
      <c r="H72" t="s">
        <v>684</v>
      </c>
    </row>
    <row r="73" spans="1:8">
      <c r="A73" s="22">
        <v>12275</v>
      </c>
      <c r="B73" s="10" t="s">
        <v>154</v>
      </c>
      <c r="C73" t="str">
        <f t="shared" si="3"/>
        <v>CPP</v>
      </c>
      <c r="F73">
        <v>12282</v>
      </c>
      <c r="G73" t="s">
        <v>161</v>
      </c>
      <c r="H73" t="s">
        <v>687</v>
      </c>
    </row>
    <row r="74" spans="1:8">
      <c r="A74" s="22">
        <v>12276</v>
      </c>
      <c r="B74" s="10" t="s">
        <v>155</v>
      </c>
      <c r="C74" t="str">
        <f t="shared" si="3"/>
        <v>Sold</v>
      </c>
      <c r="F74">
        <v>12282</v>
      </c>
      <c r="G74" t="str">
        <f>VLOOKUP(F74,BU,2,FALSE)</f>
        <v>Solano</v>
      </c>
      <c r="H74" t="s">
        <v>690</v>
      </c>
    </row>
    <row r="75" spans="1:8">
      <c r="A75" s="22">
        <v>12277</v>
      </c>
      <c r="B75" s="10" t="s">
        <v>156</v>
      </c>
      <c r="C75" t="str">
        <f t="shared" si="3"/>
        <v>FC</v>
      </c>
      <c r="F75">
        <v>12283</v>
      </c>
      <c r="G75" t="s">
        <v>162</v>
      </c>
      <c r="H75" t="s">
        <v>687</v>
      </c>
    </row>
    <row r="76" spans="1:8">
      <c r="A76" s="22">
        <v>12278</v>
      </c>
      <c r="B76" s="10" t="s">
        <v>157</v>
      </c>
      <c r="C76" t="str">
        <f t="shared" si="3"/>
        <v>FC</v>
      </c>
      <c r="F76">
        <v>12283</v>
      </c>
      <c r="G76" t="str">
        <f>VLOOKUP(F76,BU,2,FALSE)</f>
        <v>Solano Edwards BB</v>
      </c>
      <c r="H76" t="s">
        <v>690</v>
      </c>
    </row>
    <row r="77" spans="1:8">
      <c r="A77" s="22">
        <v>12279</v>
      </c>
      <c r="B77" s="10" t="s">
        <v>158</v>
      </c>
      <c r="C77" t="str">
        <f t="shared" si="3"/>
        <v>FC</v>
      </c>
      <c r="F77">
        <v>12284</v>
      </c>
      <c r="G77" t="str">
        <f>VLOOKUP(F77,BU,2,FALSE)</f>
        <v>South County</v>
      </c>
      <c r="H77" t="s">
        <v>690</v>
      </c>
    </row>
    <row r="78" spans="1:8">
      <c r="A78" s="22">
        <v>12280</v>
      </c>
      <c r="B78" s="10" t="s">
        <v>159</v>
      </c>
      <c r="C78" t="str">
        <f t="shared" si="3"/>
        <v>CPP</v>
      </c>
      <c r="F78">
        <v>12286</v>
      </c>
      <c r="G78" t="s">
        <v>165</v>
      </c>
      <c r="H78" t="s">
        <v>683</v>
      </c>
    </row>
    <row r="79" spans="1:8">
      <c r="A79" s="22">
        <v>12281</v>
      </c>
      <c r="B79" s="10" t="s">
        <v>160</v>
      </c>
      <c r="C79" t="str">
        <f t="shared" si="3"/>
        <v>OC</v>
      </c>
      <c r="F79">
        <v>12287</v>
      </c>
      <c r="G79" t="s">
        <v>166</v>
      </c>
      <c r="H79" t="s">
        <v>684</v>
      </c>
    </row>
    <row r="80" spans="1:8">
      <c r="A80" s="22">
        <v>12282</v>
      </c>
      <c r="B80" s="10" t="s">
        <v>161</v>
      </c>
      <c r="C80" t="str">
        <f t="shared" si="3"/>
        <v>SWI</v>
      </c>
      <c r="F80">
        <v>12288</v>
      </c>
      <c r="G80" t="s">
        <v>167</v>
      </c>
      <c r="H80" t="s">
        <v>686</v>
      </c>
    </row>
    <row r="81" spans="1:8">
      <c r="A81" s="22">
        <v>12283</v>
      </c>
      <c r="B81" s="10" t="s">
        <v>162</v>
      </c>
      <c r="C81" t="str">
        <f t="shared" si="3"/>
        <v>SWI</v>
      </c>
      <c r="F81">
        <v>12288</v>
      </c>
      <c r="G81" t="str">
        <f>VLOOKUP(F81,BU,2,FALSE)</f>
        <v>Southlake</v>
      </c>
      <c r="H81" t="s">
        <v>690</v>
      </c>
    </row>
    <row r="82" spans="1:8">
      <c r="A82" s="22">
        <v>12284</v>
      </c>
      <c r="B82" s="10" t="s">
        <v>163</v>
      </c>
      <c r="C82" t="str">
        <f t="shared" si="3"/>
        <v>Sold</v>
      </c>
      <c r="F82">
        <v>12289</v>
      </c>
      <c r="G82" t="s">
        <v>168</v>
      </c>
      <c r="H82" t="s">
        <v>687</v>
      </c>
    </row>
    <row r="83" spans="1:8">
      <c r="A83" s="22">
        <v>12285</v>
      </c>
      <c r="B83" s="10" t="s">
        <v>164</v>
      </c>
      <c r="C83" t="str">
        <f t="shared" si="3"/>
        <v>WF</v>
      </c>
      <c r="F83">
        <v>12289</v>
      </c>
      <c r="G83" t="str">
        <f>VLOOKUP(F83,BU,2,FALSE)</f>
        <v>Southpark</v>
      </c>
      <c r="H83" t="s">
        <v>690</v>
      </c>
    </row>
    <row r="84" spans="1:8">
      <c r="A84" s="22">
        <v>12286</v>
      </c>
      <c r="B84" s="10" t="s">
        <v>165</v>
      </c>
      <c r="C84" t="str">
        <f t="shared" si="3"/>
        <v>CPP</v>
      </c>
      <c r="F84">
        <v>12291</v>
      </c>
      <c r="G84" t="s">
        <v>170</v>
      </c>
      <c r="H84" t="s">
        <v>683</v>
      </c>
    </row>
    <row r="85" spans="1:8">
      <c r="A85" s="22">
        <v>12287</v>
      </c>
      <c r="B85" s="10" t="s">
        <v>166</v>
      </c>
      <c r="C85" t="str">
        <f t="shared" si="3"/>
        <v>OC</v>
      </c>
      <c r="F85">
        <v>12292</v>
      </c>
      <c r="G85" t="s">
        <v>171</v>
      </c>
      <c r="H85" t="s">
        <v>734</v>
      </c>
    </row>
    <row r="86" spans="1:8">
      <c r="A86" s="22">
        <v>12288</v>
      </c>
      <c r="B86" s="10" t="s">
        <v>167</v>
      </c>
      <c r="C86" t="str">
        <f t="shared" si="3"/>
        <v>SWII</v>
      </c>
      <c r="F86">
        <v>12294</v>
      </c>
      <c r="G86" t="s">
        <v>173</v>
      </c>
      <c r="H86" t="s">
        <v>693</v>
      </c>
    </row>
    <row r="87" spans="1:8">
      <c r="A87" s="22">
        <v>12289</v>
      </c>
      <c r="B87" s="10" t="s">
        <v>168</v>
      </c>
      <c r="C87" t="str">
        <f t="shared" si="3"/>
        <v>SWI</v>
      </c>
      <c r="F87">
        <v>12295</v>
      </c>
      <c r="G87" t="s">
        <v>174</v>
      </c>
      <c r="H87" t="s">
        <v>693</v>
      </c>
    </row>
    <row r="88" spans="1:8">
      <c r="A88" s="22">
        <v>12290</v>
      </c>
      <c r="B88" s="10" t="s">
        <v>169</v>
      </c>
      <c r="C88" t="str">
        <f t="shared" si="3"/>
        <v>WF</v>
      </c>
      <c r="F88">
        <v>12296</v>
      </c>
      <c r="G88" t="s">
        <v>175</v>
      </c>
      <c r="H88" t="s">
        <v>693</v>
      </c>
    </row>
    <row r="89" spans="1:8">
      <c r="A89" s="22">
        <v>12291</v>
      </c>
      <c r="B89" s="10" t="s">
        <v>170</v>
      </c>
      <c r="C89" t="str">
        <f t="shared" si="3"/>
        <v>CPP</v>
      </c>
      <c r="F89">
        <v>12300</v>
      </c>
      <c r="G89" t="str">
        <f>VLOOKUP(F89,BU,2,FALSE)</f>
        <v>West County</v>
      </c>
      <c r="H89" t="s">
        <v>690</v>
      </c>
    </row>
    <row r="90" spans="1:8">
      <c r="A90" s="22">
        <v>12292</v>
      </c>
      <c r="B90" s="10" t="s">
        <v>171</v>
      </c>
      <c r="C90" t="str">
        <f t="shared" si="3"/>
        <v>OC2</v>
      </c>
      <c r="F90">
        <v>12301</v>
      </c>
      <c r="G90" t="s">
        <v>180</v>
      </c>
      <c r="H90" t="s">
        <v>686</v>
      </c>
    </row>
    <row r="91" spans="1:8">
      <c r="A91" s="22">
        <v>12293</v>
      </c>
      <c r="B91" s="10" t="s">
        <v>172</v>
      </c>
      <c r="C91" t="str">
        <f t="shared" si="3"/>
        <v>WF</v>
      </c>
      <c r="F91">
        <v>12301</v>
      </c>
      <c r="G91" t="str">
        <f>VLOOKUP(F91,BU,2,FALSE)</f>
        <v>West Covina</v>
      </c>
      <c r="H91" t="s">
        <v>690</v>
      </c>
    </row>
    <row r="92" spans="1:8">
      <c r="A92" s="22">
        <v>12294</v>
      </c>
      <c r="B92" s="10" t="s">
        <v>173</v>
      </c>
      <c r="C92" t="str">
        <f t="shared" si="3"/>
        <v>TIAA</v>
      </c>
      <c r="F92">
        <v>12302</v>
      </c>
      <c r="G92" t="str">
        <f>VLOOKUP(F92,BU,2,FALSE)</f>
        <v>West Park</v>
      </c>
      <c r="H92" t="s">
        <v>690</v>
      </c>
    </row>
    <row r="93" spans="1:8">
      <c r="A93" s="22">
        <v>12295</v>
      </c>
      <c r="B93" s="10" t="s">
        <v>174</v>
      </c>
      <c r="C93" t="str">
        <f t="shared" si="3"/>
        <v>TIAA</v>
      </c>
      <c r="F93">
        <v>12303</v>
      </c>
      <c r="G93" t="s">
        <v>182</v>
      </c>
      <c r="H93" t="s">
        <v>683</v>
      </c>
    </row>
    <row r="94" spans="1:8">
      <c r="A94" s="22">
        <v>12296</v>
      </c>
      <c r="B94" s="10" t="s">
        <v>175</v>
      </c>
      <c r="C94" t="str">
        <f t="shared" si="3"/>
        <v>TIAA</v>
      </c>
      <c r="F94">
        <v>12304</v>
      </c>
      <c r="G94" t="str">
        <f>VLOOKUP(F94,BU,2,FALSE)</f>
        <v>Westland Colorado</v>
      </c>
      <c r="H94" t="s">
        <v>690</v>
      </c>
    </row>
    <row r="95" spans="1:8">
      <c r="A95" s="22">
        <v>12297</v>
      </c>
      <c r="B95" s="10" t="s">
        <v>176</v>
      </c>
      <c r="C95" t="str">
        <f t="shared" si="3"/>
        <v>WF</v>
      </c>
      <c r="F95">
        <v>12305</v>
      </c>
      <c r="G95" t="s">
        <v>184</v>
      </c>
      <c r="H95" t="s">
        <v>734</v>
      </c>
    </row>
    <row r="96" spans="1:8">
      <c r="A96" s="22">
        <v>12298</v>
      </c>
      <c r="B96" s="10" t="s">
        <v>177</v>
      </c>
      <c r="C96" t="str">
        <f t="shared" si="3"/>
        <v>WF</v>
      </c>
      <c r="F96">
        <v>12306</v>
      </c>
      <c r="G96" t="s">
        <v>735</v>
      </c>
      <c r="H96" t="s">
        <v>734</v>
      </c>
    </row>
    <row r="97" spans="1:8">
      <c r="A97" s="22">
        <v>12299</v>
      </c>
      <c r="B97" s="10" t="s">
        <v>178</v>
      </c>
      <c r="C97" t="str">
        <f t="shared" si="3"/>
        <v>WF</v>
      </c>
      <c r="F97">
        <v>12307</v>
      </c>
      <c r="G97" t="s">
        <v>186</v>
      </c>
      <c r="H97" t="s">
        <v>734</v>
      </c>
    </row>
    <row r="98" spans="1:8">
      <c r="A98" s="22">
        <v>12300</v>
      </c>
      <c r="B98" s="10" t="s">
        <v>179</v>
      </c>
      <c r="C98" t="str">
        <f t="shared" si="3"/>
        <v>Sold</v>
      </c>
      <c r="F98">
        <v>12308</v>
      </c>
      <c r="G98" t="s">
        <v>187</v>
      </c>
      <c r="H98" t="s">
        <v>686</v>
      </c>
    </row>
    <row r="99" spans="1:8">
      <c r="A99" s="22">
        <v>12301</v>
      </c>
      <c r="B99" s="10" t="s">
        <v>180</v>
      </c>
      <c r="C99" t="str">
        <f t="shared" si="3"/>
        <v>SWII</v>
      </c>
      <c r="F99">
        <v>12308</v>
      </c>
      <c r="G99" t="str">
        <f>VLOOKUP(F99,BU,2,FALSE)</f>
        <v>Franklin Residential Parcel</v>
      </c>
      <c r="H99" t="s">
        <v>690</v>
      </c>
    </row>
    <row r="100" spans="1:8">
      <c r="A100" s="22">
        <v>12302</v>
      </c>
      <c r="B100" s="10" t="s">
        <v>181</v>
      </c>
      <c r="C100" t="str">
        <f t="shared" si="3"/>
        <v>Sold</v>
      </c>
      <c r="F100">
        <v>12313</v>
      </c>
      <c r="G100" t="s">
        <v>688</v>
      </c>
      <c r="H100" t="s">
        <v>683</v>
      </c>
    </row>
    <row r="101" spans="1:8">
      <c r="A101" s="22">
        <v>12303</v>
      </c>
      <c r="B101" s="10" t="s">
        <v>728</v>
      </c>
      <c r="C101" t="s">
        <v>683</v>
      </c>
      <c r="F101">
        <v>12315</v>
      </c>
      <c r="G101" t="s">
        <v>194</v>
      </c>
      <c r="H101" t="s">
        <v>683</v>
      </c>
    </row>
    <row r="102" spans="1:8">
      <c r="A102" s="22">
        <v>12304</v>
      </c>
      <c r="B102" s="10" t="s">
        <v>183</v>
      </c>
      <c r="C102" t="str">
        <f t="shared" si="3"/>
        <v>Sold</v>
      </c>
      <c r="F102">
        <v>12319</v>
      </c>
      <c r="G102" t="s">
        <v>198</v>
      </c>
      <c r="H102" t="s">
        <v>686</v>
      </c>
    </row>
    <row r="103" spans="1:8">
      <c r="A103" s="22">
        <v>12305</v>
      </c>
      <c r="B103" s="10" t="s">
        <v>184</v>
      </c>
      <c r="C103" t="str">
        <f t="shared" si="3"/>
        <v>OC2</v>
      </c>
      <c r="F103">
        <v>12319</v>
      </c>
      <c r="G103" t="str">
        <f>VLOOKUP(F103,BU,2,FALSE)</f>
        <v>CMF PWC Macy's</v>
      </c>
      <c r="H103" t="s">
        <v>690</v>
      </c>
    </row>
    <row r="104" spans="1:8">
      <c r="A104" s="22">
        <v>12306</v>
      </c>
      <c r="B104" s="10" t="s">
        <v>185</v>
      </c>
      <c r="C104" t="str">
        <f t="shared" si="3"/>
        <v>OC2</v>
      </c>
      <c r="F104">
        <v>12320</v>
      </c>
      <c r="G104" t="s">
        <v>199</v>
      </c>
      <c r="H104" t="s">
        <v>683</v>
      </c>
    </row>
    <row r="105" spans="1:8">
      <c r="A105" s="22">
        <v>12307</v>
      </c>
      <c r="B105" s="10" t="s">
        <v>186</v>
      </c>
      <c r="C105" t="str">
        <f t="shared" si="3"/>
        <v>OC2</v>
      </c>
      <c r="F105">
        <v>12321</v>
      </c>
      <c r="G105" t="s">
        <v>200</v>
      </c>
      <c r="H105" t="s">
        <v>683</v>
      </c>
    </row>
    <row r="106" spans="1:8">
      <c r="A106" s="22">
        <v>12308</v>
      </c>
      <c r="B106" s="10" t="s">
        <v>187</v>
      </c>
      <c r="C106" t="str">
        <f t="shared" si="3"/>
        <v>SWII</v>
      </c>
      <c r="F106">
        <v>12327</v>
      </c>
      <c r="G106" t="s">
        <v>206</v>
      </c>
      <c r="H106" t="s">
        <v>684</v>
      </c>
    </row>
    <row r="107" spans="1:8">
      <c r="A107" s="22">
        <v>12309</v>
      </c>
      <c r="B107" s="10" t="s">
        <v>188</v>
      </c>
      <c r="C107" t="str">
        <f t="shared" si="3"/>
        <v>WF</v>
      </c>
      <c r="F107">
        <v>12328</v>
      </c>
      <c r="G107" t="s">
        <v>207</v>
      </c>
      <c r="H107" t="s">
        <v>687</v>
      </c>
    </row>
    <row r="108" spans="1:8">
      <c r="A108" s="22">
        <v>12310</v>
      </c>
      <c r="B108" s="10" t="s">
        <v>189</v>
      </c>
      <c r="C108" t="str">
        <f t="shared" si="3"/>
        <v>WF</v>
      </c>
      <c r="F108">
        <v>12328</v>
      </c>
      <c r="G108" t="str">
        <f>VLOOKUP(F108,BU,2,FALSE)</f>
        <v>Westland Florida</v>
      </c>
      <c r="H108" t="s">
        <v>690</v>
      </c>
    </row>
    <row r="109" spans="1:8">
      <c r="A109" s="22">
        <v>12311</v>
      </c>
      <c r="B109" s="10" t="s">
        <v>190</v>
      </c>
      <c r="C109" t="str">
        <f t="shared" si="3"/>
        <v>WF</v>
      </c>
      <c r="F109">
        <v>12331</v>
      </c>
      <c r="G109" t="s">
        <v>210</v>
      </c>
      <c r="H109" t="s">
        <v>683</v>
      </c>
    </row>
    <row r="110" spans="1:8">
      <c r="A110" s="22">
        <v>12312</v>
      </c>
      <c r="B110" s="10" t="s">
        <v>191</v>
      </c>
      <c r="C110" t="str">
        <f t="shared" si="3"/>
        <v>WF</v>
      </c>
      <c r="F110">
        <v>12332</v>
      </c>
      <c r="G110" t="s">
        <v>211</v>
      </c>
      <c r="H110" t="s">
        <v>686</v>
      </c>
    </row>
    <row r="111" spans="1:8">
      <c r="A111" s="22">
        <v>12313</v>
      </c>
      <c r="B111" s="10" t="s">
        <v>192</v>
      </c>
      <c r="C111" t="str">
        <f t="shared" si="3"/>
        <v>CPP</v>
      </c>
      <c r="F111">
        <v>12332</v>
      </c>
      <c r="G111" t="str">
        <f>VLOOKUP(F111,BU,2,FALSE)</f>
        <v>Franklin Park II</v>
      </c>
      <c r="H111" t="s">
        <v>690</v>
      </c>
    </row>
    <row r="112" spans="1:8">
      <c r="A112" s="22">
        <v>12314</v>
      </c>
      <c r="B112" s="10" t="s">
        <v>193</v>
      </c>
      <c r="C112" t="str">
        <f t="shared" si="3"/>
        <v>WF</v>
      </c>
      <c r="F112">
        <v>12334</v>
      </c>
      <c r="G112" t="s">
        <v>213</v>
      </c>
      <c r="H112" t="s">
        <v>687</v>
      </c>
    </row>
    <row r="113" spans="1:8">
      <c r="A113" s="22">
        <v>12315</v>
      </c>
      <c r="B113" s="10" t="s">
        <v>194</v>
      </c>
      <c r="C113" t="str">
        <f t="shared" si="3"/>
        <v>CPP</v>
      </c>
      <c r="F113">
        <v>12334</v>
      </c>
      <c r="G113" t="str">
        <f>VLOOKUP(F113,BU,2,FALSE)</f>
        <v>Solano Mervyn's</v>
      </c>
      <c r="H113" t="s">
        <v>690</v>
      </c>
    </row>
    <row r="114" spans="1:8">
      <c r="A114" s="22">
        <v>12316</v>
      </c>
      <c r="B114" s="10" t="s">
        <v>195</v>
      </c>
      <c r="C114" t="str">
        <f t="shared" si="3"/>
        <v>WF</v>
      </c>
      <c r="F114">
        <v>12336</v>
      </c>
      <c r="G114" t="s">
        <v>215</v>
      </c>
      <c r="H114" t="s">
        <v>686</v>
      </c>
    </row>
    <row r="115" spans="1:8">
      <c r="A115" s="22">
        <v>12317</v>
      </c>
      <c r="B115" s="10" t="s">
        <v>196</v>
      </c>
      <c r="C115" t="str">
        <f t="shared" si="3"/>
        <v>WF</v>
      </c>
      <c r="F115">
        <v>12336</v>
      </c>
      <c r="G115" t="str">
        <f>VLOOKUP(F115,BU,2,FALSE)</f>
        <v>Parkway Mervyn's</v>
      </c>
      <c r="H115" t="s">
        <v>690</v>
      </c>
    </row>
    <row r="116" spans="1:8">
      <c r="A116" s="22">
        <v>12318</v>
      </c>
      <c r="B116" s="10" t="s">
        <v>197</v>
      </c>
      <c r="C116" t="str">
        <f t="shared" si="3"/>
        <v>WF</v>
      </c>
      <c r="F116">
        <v>12900</v>
      </c>
      <c r="G116" t="s">
        <v>216</v>
      </c>
      <c r="H116" t="s">
        <v>734</v>
      </c>
    </row>
    <row r="117" spans="1:8">
      <c r="A117" s="22">
        <v>12319</v>
      </c>
      <c r="B117" s="10" t="s">
        <v>198</v>
      </c>
      <c r="C117" t="str">
        <f t="shared" si="3"/>
        <v>SWII</v>
      </c>
      <c r="F117">
        <v>15322</v>
      </c>
      <c r="G117" t="s">
        <v>293</v>
      </c>
      <c r="H117" t="s">
        <v>683</v>
      </c>
    </row>
    <row r="118" spans="1:8">
      <c r="A118" s="22">
        <v>12320</v>
      </c>
      <c r="B118" s="10" t="s">
        <v>199</v>
      </c>
      <c r="C118" t="str">
        <f t="shared" si="3"/>
        <v>CPP</v>
      </c>
    </row>
    <row r="119" spans="1:8">
      <c r="A119" s="22">
        <v>12321</v>
      </c>
      <c r="B119" s="10" t="s">
        <v>200</v>
      </c>
      <c r="C119" t="str">
        <f t="shared" si="3"/>
        <v>CPP</v>
      </c>
    </row>
    <row r="120" spans="1:8">
      <c r="A120" s="22">
        <v>12322</v>
      </c>
      <c r="B120" s="10" t="s">
        <v>201</v>
      </c>
      <c r="C120" t="str">
        <f t="shared" si="3"/>
        <v>WF</v>
      </c>
    </row>
    <row r="121" spans="1:8">
      <c r="A121" s="22">
        <v>12323</v>
      </c>
      <c r="B121" s="10" t="s">
        <v>202</v>
      </c>
      <c r="C121" t="str">
        <f t="shared" si="3"/>
        <v>WF</v>
      </c>
    </row>
    <row r="122" spans="1:8">
      <c r="A122" s="22">
        <v>12324</v>
      </c>
      <c r="B122" s="10" t="s">
        <v>203</v>
      </c>
      <c r="C122" t="str">
        <f t="shared" si="3"/>
        <v>WF</v>
      </c>
    </row>
    <row r="123" spans="1:8">
      <c r="A123" s="22">
        <v>12325</v>
      </c>
      <c r="B123" s="10" t="s">
        <v>204</v>
      </c>
      <c r="C123" t="str">
        <f t="shared" si="3"/>
        <v>WF</v>
      </c>
    </row>
    <row r="124" spans="1:8">
      <c r="A124" s="22">
        <v>12326</v>
      </c>
      <c r="B124" s="10" t="s">
        <v>205</v>
      </c>
      <c r="C124" t="str">
        <f t="shared" si="3"/>
        <v>WF</v>
      </c>
    </row>
    <row r="125" spans="1:8">
      <c r="A125" s="22">
        <v>12327</v>
      </c>
      <c r="B125" s="10" t="s">
        <v>206</v>
      </c>
      <c r="C125" t="str">
        <f t="shared" si="3"/>
        <v>OC</v>
      </c>
    </row>
    <row r="126" spans="1:8">
      <c r="A126" s="22">
        <v>12328</v>
      </c>
      <c r="B126" s="10" t="s">
        <v>207</v>
      </c>
      <c r="C126" t="str">
        <f t="shared" si="3"/>
        <v>SWI</v>
      </c>
    </row>
    <row r="127" spans="1:8">
      <c r="A127" s="22">
        <v>12329</v>
      </c>
      <c r="B127" s="10" t="s">
        <v>208</v>
      </c>
      <c r="C127" t="str">
        <f t="shared" si="3"/>
        <v>WF</v>
      </c>
    </row>
    <row r="128" spans="1:8">
      <c r="A128" s="22">
        <v>12330</v>
      </c>
      <c r="B128" s="10" t="s">
        <v>209</v>
      </c>
      <c r="C128" t="str">
        <f t="shared" si="3"/>
        <v>WF</v>
      </c>
    </row>
    <row r="129" spans="1:3">
      <c r="A129" s="22">
        <v>12331</v>
      </c>
      <c r="B129" s="10" t="s">
        <v>210</v>
      </c>
      <c r="C129" t="str">
        <f t="shared" si="3"/>
        <v>CPP</v>
      </c>
    </row>
    <row r="130" spans="1:3">
      <c r="A130" s="22">
        <v>12332</v>
      </c>
      <c r="B130" s="10" t="s">
        <v>211</v>
      </c>
      <c r="C130" t="str">
        <f t="shared" si="3"/>
        <v>SWII</v>
      </c>
    </row>
    <row r="131" spans="1:3">
      <c r="A131" s="22">
        <v>12333</v>
      </c>
      <c r="B131" s="10" t="s">
        <v>212</v>
      </c>
      <c r="C131" t="str">
        <f t="shared" ref="C131:C194" si="4">IF(ISNA(VLOOKUP(A131,$F$2:$H$120,3,FALSE)),"WF",VLOOKUP(A131,$F$2:$H$120,3,FALSE))</f>
        <v>WF</v>
      </c>
    </row>
    <row r="132" spans="1:3">
      <c r="A132" s="22">
        <v>12334</v>
      </c>
      <c r="B132" s="10" t="s">
        <v>213</v>
      </c>
      <c r="C132" t="str">
        <f t="shared" si="4"/>
        <v>SWI</v>
      </c>
    </row>
    <row r="133" spans="1:3">
      <c r="A133" s="22">
        <v>12335</v>
      </c>
      <c r="B133" s="10" t="s">
        <v>214</v>
      </c>
      <c r="C133" t="str">
        <f t="shared" si="4"/>
        <v>WF</v>
      </c>
    </row>
    <row r="134" spans="1:3">
      <c r="A134" s="22">
        <v>12336</v>
      </c>
      <c r="B134" s="10" t="s">
        <v>215</v>
      </c>
      <c r="C134" t="str">
        <f t="shared" si="4"/>
        <v>SWII</v>
      </c>
    </row>
    <row r="135" spans="1:3">
      <c r="A135" s="22">
        <v>12900</v>
      </c>
      <c r="B135" s="10" t="s">
        <v>216</v>
      </c>
      <c r="C135" t="str">
        <f t="shared" si="4"/>
        <v>OC2</v>
      </c>
    </row>
    <row r="136" spans="1:3">
      <c r="A136" s="22">
        <v>12901</v>
      </c>
      <c r="B136" s="10" t="s">
        <v>217</v>
      </c>
      <c r="C136" t="str">
        <f t="shared" si="4"/>
        <v>WF</v>
      </c>
    </row>
    <row r="137" spans="1:3">
      <c r="A137" s="22">
        <v>12902</v>
      </c>
      <c r="B137" s="10" t="s">
        <v>218</v>
      </c>
      <c r="C137" t="str">
        <f t="shared" si="4"/>
        <v>WF</v>
      </c>
    </row>
    <row r="138" spans="1:3">
      <c r="A138" s="22">
        <v>14303</v>
      </c>
      <c r="B138" s="34" t="s">
        <v>219</v>
      </c>
      <c r="C138" t="str">
        <f t="shared" si="4"/>
        <v>WF</v>
      </c>
    </row>
    <row r="139" spans="1:3">
      <c r="A139" s="22">
        <v>15248</v>
      </c>
      <c r="B139" s="10" t="s">
        <v>220</v>
      </c>
      <c r="C139" t="str">
        <f t="shared" si="4"/>
        <v>WF</v>
      </c>
    </row>
    <row r="140" spans="1:3">
      <c r="A140" s="22">
        <v>15249</v>
      </c>
      <c r="B140" s="10" t="s">
        <v>221</v>
      </c>
      <c r="C140" t="str">
        <f t="shared" si="4"/>
        <v>WF</v>
      </c>
    </row>
    <row r="141" spans="1:3">
      <c r="A141" s="22">
        <v>15250</v>
      </c>
      <c r="B141" s="10" t="s">
        <v>222</v>
      </c>
      <c r="C141" t="str">
        <f t="shared" si="4"/>
        <v>WF</v>
      </c>
    </row>
    <row r="142" spans="1:3">
      <c r="A142" s="22">
        <v>15251</v>
      </c>
      <c r="B142" s="10" t="s">
        <v>223</v>
      </c>
      <c r="C142" t="str">
        <f t="shared" si="4"/>
        <v>WF</v>
      </c>
    </row>
    <row r="143" spans="1:3">
      <c r="A143" s="22">
        <v>15252</v>
      </c>
      <c r="B143" s="10" t="s">
        <v>224</v>
      </c>
      <c r="C143" t="str">
        <f t="shared" si="4"/>
        <v>WF</v>
      </c>
    </row>
    <row r="144" spans="1:3">
      <c r="A144" s="22">
        <v>15253</v>
      </c>
      <c r="B144" s="10" t="s">
        <v>225</v>
      </c>
      <c r="C144" t="str">
        <f t="shared" si="4"/>
        <v>WF</v>
      </c>
    </row>
    <row r="145" spans="1:3">
      <c r="A145" s="22">
        <v>15254</v>
      </c>
      <c r="B145" s="10" t="s">
        <v>226</v>
      </c>
      <c r="C145" t="str">
        <f t="shared" si="4"/>
        <v>WF</v>
      </c>
    </row>
    <row r="146" spans="1:3">
      <c r="A146" s="22">
        <v>15255</v>
      </c>
      <c r="B146" s="10" t="s">
        <v>227</v>
      </c>
      <c r="C146" t="str">
        <f t="shared" si="4"/>
        <v>WF</v>
      </c>
    </row>
    <row r="147" spans="1:3">
      <c r="A147" s="22">
        <v>15256</v>
      </c>
      <c r="B147" s="10" t="s">
        <v>228</v>
      </c>
      <c r="C147" t="str">
        <f t="shared" si="4"/>
        <v>WF</v>
      </c>
    </row>
    <row r="148" spans="1:3">
      <c r="A148" s="22">
        <v>15257</v>
      </c>
      <c r="B148" s="10" t="s">
        <v>229</v>
      </c>
      <c r="C148" t="str">
        <f t="shared" si="4"/>
        <v>WF</v>
      </c>
    </row>
    <row r="149" spans="1:3">
      <c r="A149" s="22">
        <v>15258</v>
      </c>
      <c r="B149" s="10" t="s">
        <v>230</v>
      </c>
      <c r="C149" t="str">
        <f t="shared" si="4"/>
        <v>WF</v>
      </c>
    </row>
    <row r="150" spans="1:3">
      <c r="A150" s="22">
        <v>15259</v>
      </c>
      <c r="B150" s="10" t="s">
        <v>231</v>
      </c>
      <c r="C150" t="str">
        <f t="shared" si="4"/>
        <v>WF</v>
      </c>
    </row>
    <row r="151" spans="1:3">
      <c r="A151" s="22">
        <v>15260</v>
      </c>
      <c r="B151" s="10" t="s">
        <v>232</v>
      </c>
      <c r="C151" t="str">
        <f t="shared" si="4"/>
        <v>WF</v>
      </c>
    </row>
    <row r="152" spans="1:3">
      <c r="A152" s="22">
        <v>15261</v>
      </c>
      <c r="B152" s="10" t="s">
        <v>233</v>
      </c>
      <c r="C152" t="str">
        <f t="shared" si="4"/>
        <v>WF</v>
      </c>
    </row>
    <row r="153" spans="1:3">
      <c r="A153" s="22">
        <v>15262</v>
      </c>
      <c r="B153" s="10" t="s">
        <v>234</v>
      </c>
      <c r="C153" t="str">
        <f t="shared" si="4"/>
        <v>WF</v>
      </c>
    </row>
    <row r="154" spans="1:3">
      <c r="A154" s="22">
        <v>15263</v>
      </c>
      <c r="B154" s="10" t="s">
        <v>235</v>
      </c>
      <c r="C154" t="str">
        <f t="shared" si="4"/>
        <v>WF</v>
      </c>
    </row>
    <row r="155" spans="1:3">
      <c r="A155" s="22">
        <v>15264</v>
      </c>
      <c r="B155" s="10" t="s">
        <v>236</v>
      </c>
      <c r="C155" t="str">
        <f t="shared" si="4"/>
        <v>WF</v>
      </c>
    </row>
    <row r="156" spans="1:3">
      <c r="A156" s="22">
        <v>15265</v>
      </c>
      <c r="B156" s="10" t="s">
        <v>237</v>
      </c>
      <c r="C156" t="str">
        <f t="shared" si="4"/>
        <v>WF</v>
      </c>
    </row>
    <row r="157" spans="1:3">
      <c r="A157" s="22">
        <v>15266</v>
      </c>
      <c r="B157" s="10" t="s">
        <v>238</v>
      </c>
      <c r="C157" t="str">
        <f t="shared" si="4"/>
        <v>WF</v>
      </c>
    </row>
    <row r="158" spans="1:3">
      <c r="A158" s="22">
        <v>15267</v>
      </c>
      <c r="B158" s="10" t="s">
        <v>239</v>
      </c>
      <c r="C158" t="str">
        <f t="shared" si="4"/>
        <v>WF</v>
      </c>
    </row>
    <row r="159" spans="1:3">
      <c r="A159" s="22">
        <v>15268</v>
      </c>
      <c r="B159" s="10" t="s">
        <v>240</v>
      </c>
      <c r="C159" t="str">
        <f t="shared" si="4"/>
        <v>WF</v>
      </c>
    </row>
    <row r="160" spans="1:3">
      <c r="A160" s="22">
        <v>15269</v>
      </c>
      <c r="B160" s="10" t="s">
        <v>241</v>
      </c>
      <c r="C160" t="str">
        <f t="shared" si="4"/>
        <v>WF</v>
      </c>
    </row>
    <row r="161" spans="1:3">
      <c r="A161" s="22">
        <v>15270</v>
      </c>
      <c r="B161" s="10" t="s">
        <v>242</v>
      </c>
      <c r="C161" t="str">
        <f t="shared" si="4"/>
        <v>WF</v>
      </c>
    </row>
    <row r="162" spans="1:3">
      <c r="A162" s="22">
        <v>15271</v>
      </c>
      <c r="B162" s="10" t="s">
        <v>243</v>
      </c>
      <c r="C162" t="str">
        <f t="shared" si="4"/>
        <v>WF</v>
      </c>
    </row>
    <row r="163" spans="1:3">
      <c r="A163" s="22">
        <v>15272</v>
      </c>
      <c r="B163" s="10" t="s">
        <v>244</v>
      </c>
      <c r="C163" t="str">
        <f t="shared" si="4"/>
        <v>WF</v>
      </c>
    </row>
    <row r="164" spans="1:3">
      <c r="A164" s="22">
        <v>15273</v>
      </c>
      <c r="B164" s="10" t="s">
        <v>245</v>
      </c>
      <c r="C164" t="str">
        <f t="shared" si="4"/>
        <v>WF</v>
      </c>
    </row>
    <row r="165" spans="1:3">
      <c r="A165" s="22">
        <v>15274</v>
      </c>
      <c r="B165" s="10" t="s">
        <v>246</v>
      </c>
      <c r="C165" t="str">
        <f t="shared" si="4"/>
        <v>WF</v>
      </c>
    </row>
    <row r="166" spans="1:3">
      <c r="A166" s="22">
        <v>15275</v>
      </c>
      <c r="B166" s="10" t="s">
        <v>247</v>
      </c>
      <c r="C166" t="str">
        <f t="shared" si="4"/>
        <v>WF</v>
      </c>
    </row>
    <row r="167" spans="1:3">
      <c r="A167" s="22">
        <v>15276</v>
      </c>
      <c r="B167" s="10" t="s">
        <v>248</v>
      </c>
      <c r="C167" t="str">
        <f t="shared" si="4"/>
        <v>WF</v>
      </c>
    </row>
    <row r="168" spans="1:3">
      <c r="A168" s="22">
        <v>15277</v>
      </c>
      <c r="B168" s="10" t="s">
        <v>249</v>
      </c>
      <c r="C168" t="str">
        <f t="shared" si="4"/>
        <v>WF</v>
      </c>
    </row>
    <row r="169" spans="1:3">
      <c r="A169" s="22">
        <v>15278</v>
      </c>
      <c r="B169" s="10" t="s">
        <v>250</v>
      </c>
      <c r="C169" t="str">
        <f t="shared" si="4"/>
        <v>WF</v>
      </c>
    </row>
    <row r="170" spans="1:3">
      <c r="A170" s="22">
        <v>15279</v>
      </c>
      <c r="B170" s="10" t="s">
        <v>251</v>
      </c>
      <c r="C170" t="str">
        <f t="shared" si="4"/>
        <v>WF</v>
      </c>
    </row>
    <row r="171" spans="1:3">
      <c r="A171" s="22">
        <v>15280</v>
      </c>
      <c r="B171" s="10" t="s">
        <v>252</v>
      </c>
      <c r="C171" t="str">
        <f t="shared" si="4"/>
        <v>WF</v>
      </c>
    </row>
    <row r="172" spans="1:3">
      <c r="A172" s="22">
        <v>15281</v>
      </c>
      <c r="B172" s="10" t="s">
        <v>253</v>
      </c>
      <c r="C172" t="str">
        <f t="shared" si="4"/>
        <v>WF</v>
      </c>
    </row>
    <row r="173" spans="1:3">
      <c r="A173" s="22">
        <v>15282</v>
      </c>
      <c r="B173" s="10" t="s">
        <v>254</v>
      </c>
      <c r="C173" t="str">
        <f t="shared" si="4"/>
        <v>WF</v>
      </c>
    </row>
    <row r="174" spans="1:3">
      <c r="A174" s="22">
        <v>15283</v>
      </c>
      <c r="B174" s="10" t="s">
        <v>255</v>
      </c>
      <c r="C174" t="str">
        <f t="shared" si="4"/>
        <v>WF</v>
      </c>
    </row>
    <row r="175" spans="1:3">
      <c r="A175" s="22">
        <v>15284</v>
      </c>
      <c r="B175" s="10" t="s">
        <v>256</v>
      </c>
      <c r="C175" t="str">
        <f t="shared" si="4"/>
        <v>WF</v>
      </c>
    </row>
    <row r="176" spans="1:3">
      <c r="A176" s="22">
        <v>15285</v>
      </c>
      <c r="B176" s="10" t="s">
        <v>257</v>
      </c>
      <c r="C176" t="str">
        <f t="shared" si="4"/>
        <v>WF</v>
      </c>
    </row>
    <row r="177" spans="1:3">
      <c r="A177" s="22">
        <v>15286</v>
      </c>
      <c r="B177" s="10" t="s">
        <v>258</v>
      </c>
      <c r="C177" t="str">
        <f t="shared" si="4"/>
        <v>WF</v>
      </c>
    </row>
    <row r="178" spans="1:3">
      <c r="A178" s="22">
        <v>15287</v>
      </c>
      <c r="B178" s="10" t="s">
        <v>259</v>
      </c>
      <c r="C178" t="str">
        <f t="shared" si="4"/>
        <v>WF</v>
      </c>
    </row>
    <row r="179" spans="1:3">
      <c r="A179" s="22">
        <v>15288</v>
      </c>
      <c r="B179" s="10" t="s">
        <v>260</v>
      </c>
      <c r="C179" t="str">
        <f t="shared" si="4"/>
        <v>WF</v>
      </c>
    </row>
    <row r="180" spans="1:3">
      <c r="A180" s="22">
        <v>15289</v>
      </c>
      <c r="B180" s="10" t="s">
        <v>261</v>
      </c>
      <c r="C180" t="str">
        <f t="shared" si="4"/>
        <v>WF</v>
      </c>
    </row>
    <row r="181" spans="1:3">
      <c r="A181" s="22">
        <v>15290</v>
      </c>
      <c r="B181" s="10" t="s">
        <v>262</v>
      </c>
      <c r="C181" t="str">
        <f t="shared" si="4"/>
        <v>WF</v>
      </c>
    </row>
    <row r="182" spans="1:3">
      <c r="A182" s="22">
        <v>15291</v>
      </c>
      <c r="B182" s="10" t="s">
        <v>263</v>
      </c>
      <c r="C182" t="str">
        <f t="shared" si="4"/>
        <v>WF</v>
      </c>
    </row>
    <row r="183" spans="1:3">
      <c r="A183">
        <v>15292</v>
      </c>
      <c r="B183" t="s">
        <v>264</v>
      </c>
      <c r="C183" t="str">
        <f t="shared" si="4"/>
        <v>WF</v>
      </c>
    </row>
    <row r="184" spans="1:3">
      <c r="A184">
        <v>15293</v>
      </c>
      <c r="B184" t="s">
        <v>265</v>
      </c>
      <c r="C184" t="str">
        <f t="shared" si="4"/>
        <v>WF</v>
      </c>
    </row>
    <row r="185" spans="1:3">
      <c r="A185">
        <v>15294</v>
      </c>
      <c r="B185" t="s">
        <v>266</v>
      </c>
      <c r="C185" t="str">
        <f t="shared" si="4"/>
        <v>WF</v>
      </c>
    </row>
    <row r="186" spans="1:3">
      <c r="A186">
        <v>15295</v>
      </c>
      <c r="B186" t="s">
        <v>267</v>
      </c>
      <c r="C186" t="str">
        <f t="shared" si="4"/>
        <v>WF</v>
      </c>
    </row>
    <row r="187" spans="1:3">
      <c r="A187">
        <v>15296</v>
      </c>
      <c r="B187" t="s">
        <v>268</v>
      </c>
      <c r="C187" t="str">
        <f t="shared" si="4"/>
        <v>WF</v>
      </c>
    </row>
    <row r="188" spans="1:3">
      <c r="A188">
        <v>15297</v>
      </c>
      <c r="B188" t="s">
        <v>269</v>
      </c>
      <c r="C188" t="str">
        <f t="shared" si="4"/>
        <v>WF</v>
      </c>
    </row>
    <row r="189" spans="1:3">
      <c r="A189">
        <v>15298</v>
      </c>
      <c r="B189" t="s">
        <v>270</v>
      </c>
      <c r="C189" t="str">
        <f t="shared" si="4"/>
        <v>WF</v>
      </c>
    </row>
    <row r="190" spans="1:3">
      <c r="A190">
        <v>15299</v>
      </c>
      <c r="B190" t="s">
        <v>271</v>
      </c>
      <c r="C190" t="str">
        <f t="shared" si="4"/>
        <v>WF</v>
      </c>
    </row>
    <row r="191" spans="1:3">
      <c r="A191">
        <v>15300</v>
      </c>
      <c r="B191" t="s">
        <v>272</v>
      </c>
      <c r="C191" t="str">
        <f t="shared" si="4"/>
        <v>WF</v>
      </c>
    </row>
    <row r="192" spans="1:3">
      <c r="A192">
        <v>15301</v>
      </c>
      <c r="B192" t="s">
        <v>273</v>
      </c>
      <c r="C192" t="str">
        <f t="shared" si="4"/>
        <v>WF</v>
      </c>
    </row>
    <row r="193" spans="1:3">
      <c r="A193">
        <v>15302</v>
      </c>
      <c r="B193" t="s">
        <v>274</v>
      </c>
      <c r="C193" t="str">
        <f t="shared" si="4"/>
        <v>WF</v>
      </c>
    </row>
    <row r="194" spans="1:3">
      <c r="A194">
        <v>15303</v>
      </c>
      <c r="B194" t="s">
        <v>275</v>
      </c>
      <c r="C194" t="str">
        <f t="shared" si="4"/>
        <v>WF</v>
      </c>
    </row>
    <row r="195" spans="1:3">
      <c r="A195">
        <v>15304</v>
      </c>
      <c r="B195" t="s">
        <v>276</v>
      </c>
      <c r="C195" t="str">
        <f t="shared" ref="C195:C258" si="5">IF(ISNA(VLOOKUP(A195,$F$2:$H$120,3,FALSE)),"WF",VLOOKUP(A195,$F$2:$H$120,3,FALSE))</f>
        <v>WF</v>
      </c>
    </row>
    <row r="196" spans="1:3">
      <c r="A196">
        <v>15305</v>
      </c>
      <c r="B196" t="s">
        <v>152</v>
      </c>
      <c r="C196" t="str">
        <f t="shared" si="5"/>
        <v>WF</v>
      </c>
    </row>
    <row r="197" spans="1:3">
      <c r="A197">
        <v>15306</v>
      </c>
      <c r="B197" t="s">
        <v>277</v>
      </c>
      <c r="C197" t="str">
        <f t="shared" si="5"/>
        <v>WF</v>
      </c>
    </row>
    <row r="198" spans="1:3">
      <c r="A198">
        <v>15307</v>
      </c>
      <c r="B198" t="s">
        <v>278</v>
      </c>
      <c r="C198" t="str">
        <f t="shared" si="5"/>
        <v>WF</v>
      </c>
    </row>
    <row r="199" spans="1:3">
      <c r="A199">
        <v>15308</v>
      </c>
      <c r="B199" t="s">
        <v>279</v>
      </c>
      <c r="C199" t="str">
        <f t="shared" si="5"/>
        <v>WF</v>
      </c>
    </row>
    <row r="200" spans="1:3">
      <c r="A200">
        <v>15309</v>
      </c>
      <c r="B200" t="s">
        <v>280</v>
      </c>
      <c r="C200" t="str">
        <f t="shared" si="5"/>
        <v>WF</v>
      </c>
    </row>
    <row r="201" spans="1:3">
      <c r="A201">
        <v>15310</v>
      </c>
      <c r="B201" t="s">
        <v>281</v>
      </c>
      <c r="C201" t="str">
        <f t="shared" si="5"/>
        <v>WF</v>
      </c>
    </row>
    <row r="202" spans="1:3">
      <c r="A202">
        <v>15311</v>
      </c>
      <c r="B202" t="s">
        <v>282</v>
      </c>
      <c r="C202" t="str">
        <f t="shared" si="5"/>
        <v>WF</v>
      </c>
    </row>
    <row r="203" spans="1:3">
      <c r="A203">
        <v>15312</v>
      </c>
      <c r="B203" t="s">
        <v>283</v>
      </c>
      <c r="C203" t="str">
        <f t="shared" si="5"/>
        <v>WF</v>
      </c>
    </row>
    <row r="204" spans="1:3">
      <c r="A204">
        <v>15313</v>
      </c>
      <c r="B204" t="s">
        <v>284</v>
      </c>
      <c r="C204" t="str">
        <f t="shared" si="5"/>
        <v>WF</v>
      </c>
    </row>
    <row r="205" spans="1:3">
      <c r="A205">
        <v>15314</v>
      </c>
      <c r="B205" t="s">
        <v>285</v>
      </c>
      <c r="C205" t="str">
        <f t="shared" si="5"/>
        <v>WF</v>
      </c>
    </row>
    <row r="206" spans="1:3">
      <c r="A206">
        <v>15315</v>
      </c>
      <c r="B206" t="s">
        <v>286</v>
      </c>
      <c r="C206" t="str">
        <f t="shared" si="5"/>
        <v>WF</v>
      </c>
    </row>
    <row r="207" spans="1:3">
      <c r="A207">
        <v>15316</v>
      </c>
      <c r="B207" t="s">
        <v>287</v>
      </c>
      <c r="C207" t="str">
        <f t="shared" si="5"/>
        <v>WF</v>
      </c>
    </row>
    <row r="208" spans="1:3">
      <c r="A208">
        <v>15317</v>
      </c>
      <c r="B208" t="s">
        <v>288</v>
      </c>
      <c r="C208" t="str">
        <f t="shared" si="5"/>
        <v>WF</v>
      </c>
    </row>
    <row r="209" spans="1:3">
      <c r="A209">
        <v>15318</v>
      </c>
      <c r="B209" t="s">
        <v>289</v>
      </c>
      <c r="C209" t="str">
        <f t="shared" si="5"/>
        <v>WF</v>
      </c>
    </row>
    <row r="210" spans="1:3">
      <c r="A210">
        <v>15319</v>
      </c>
      <c r="B210" t="s">
        <v>290</v>
      </c>
      <c r="C210" t="str">
        <f t="shared" si="5"/>
        <v>WF</v>
      </c>
    </row>
    <row r="211" spans="1:3">
      <c r="A211">
        <v>15320</v>
      </c>
      <c r="B211" t="s">
        <v>291</v>
      </c>
      <c r="C211" t="str">
        <f t="shared" si="5"/>
        <v>WF</v>
      </c>
    </row>
    <row r="212" spans="1:3">
      <c r="A212">
        <v>15321</v>
      </c>
      <c r="B212" t="s">
        <v>292</v>
      </c>
      <c r="C212" t="str">
        <f t="shared" si="5"/>
        <v>WF</v>
      </c>
    </row>
    <row r="213" spans="1:3">
      <c r="A213">
        <v>15322</v>
      </c>
      <c r="B213" t="s">
        <v>293</v>
      </c>
      <c r="C213" t="str">
        <f t="shared" si="5"/>
        <v>CPP</v>
      </c>
    </row>
    <row r="214" spans="1:3">
      <c r="A214">
        <v>15323</v>
      </c>
      <c r="B214" t="s">
        <v>294</v>
      </c>
      <c r="C214" t="str">
        <f t="shared" si="5"/>
        <v>WF</v>
      </c>
    </row>
    <row r="215" spans="1:3">
      <c r="A215">
        <v>15324</v>
      </c>
      <c r="B215" t="s">
        <v>295</v>
      </c>
      <c r="C215" t="str">
        <f t="shared" si="5"/>
        <v>WF</v>
      </c>
    </row>
    <row r="216" spans="1:3">
      <c r="A216">
        <v>15325</v>
      </c>
      <c r="B216" t="s">
        <v>296</v>
      </c>
      <c r="C216" t="str">
        <f t="shared" si="5"/>
        <v>WF</v>
      </c>
    </row>
    <row r="217" spans="1:3">
      <c r="A217">
        <v>15326</v>
      </c>
      <c r="B217" t="s">
        <v>297</v>
      </c>
      <c r="C217" t="str">
        <f t="shared" si="5"/>
        <v>WF</v>
      </c>
    </row>
    <row r="218" spans="1:3">
      <c r="A218">
        <v>15327</v>
      </c>
      <c r="B218" t="s">
        <v>298</v>
      </c>
      <c r="C218" t="str">
        <f t="shared" si="5"/>
        <v>WF</v>
      </c>
    </row>
    <row r="219" spans="1:3">
      <c r="A219">
        <v>15328</v>
      </c>
      <c r="B219" t="s">
        <v>299</v>
      </c>
      <c r="C219" t="str">
        <f t="shared" si="5"/>
        <v>WF</v>
      </c>
    </row>
    <row r="220" spans="1:3">
      <c r="A220">
        <v>15329</v>
      </c>
      <c r="B220" t="s">
        <v>300</v>
      </c>
      <c r="C220" t="str">
        <f t="shared" si="5"/>
        <v>WF</v>
      </c>
    </row>
    <row r="221" spans="1:3">
      <c r="A221">
        <v>15330</v>
      </c>
      <c r="B221" t="s">
        <v>301</v>
      </c>
      <c r="C221" t="str">
        <f t="shared" si="5"/>
        <v>WF</v>
      </c>
    </row>
    <row r="222" spans="1:3">
      <c r="A222">
        <v>15331</v>
      </c>
      <c r="B222" t="s">
        <v>302</v>
      </c>
      <c r="C222" t="str">
        <f t="shared" si="5"/>
        <v>WF</v>
      </c>
    </row>
    <row r="223" spans="1:3">
      <c r="A223">
        <v>15332</v>
      </c>
      <c r="B223" t="s">
        <v>303</v>
      </c>
      <c r="C223" t="str">
        <f t="shared" si="5"/>
        <v>WF</v>
      </c>
    </row>
    <row r="224" spans="1:3">
      <c r="A224">
        <v>15333</v>
      </c>
      <c r="B224" t="s">
        <v>304</v>
      </c>
      <c r="C224" t="str">
        <f t="shared" si="5"/>
        <v>WF</v>
      </c>
    </row>
    <row r="225" spans="1:3">
      <c r="A225">
        <v>15334</v>
      </c>
      <c r="B225" t="s">
        <v>305</v>
      </c>
      <c r="C225" t="str">
        <f t="shared" si="5"/>
        <v>WF</v>
      </c>
    </row>
    <row r="226" spans="1:3">
      <c r="A226">
        <v>15335</v>
      </c>
      <c r="B226" t="s">
        <v>306</v>
      </c>
      <c r="C226" t="str">
        <f t="shared" si="5"/>
        <v>WF</v>
      </c>
    </row>
    <row r="227" spans="1:3">
      <c r="A227">
        <v>15336</v>
      </c>
      <c r="B227" t="s">
        <v>307</v>
      </c>
      <c r="C227" t="str">
        <f t="shared" si="5"/>
        <v>WF</v>
      </c>
    </row>
    <row r="228" spans="1:3">
      <c r="A228">
        <v>15337</v>
      </c>
      <c r="B228" t="s">
        <v>308</v>
      </c>
      <c r="C228" t="str">
        <f t="shared" si="5"/>
        <v>WF</v>
      </c>
    </row>
    <row r="229" spans="1:3">
      <c r="A229">
        <v>15338</v>
      </c>
      <c r="B229" t="s">
        <v>309</v>
      </c>
      <c r="C229" t="str">
        <f t="shared" si="5"/>
        <v>WF</v>
      </c>
    </row>
    <row r="230" spans="1:3">
      <c r="A230">
        <v>15339</v>
      </c>
      <c r="B230" t="s">
        <v>310</v>
      </c>
      <c r="C230" t="str">
        <f t="shared" si="5"/>
        <v>WF</v>
      </c>
    </row>
    <row r="231" spans="1:3">
      <c r="A231">
        <v>15340</v>
      </c>
      <c r="B231" t="s">
        <v>311</v>
      </c>
      <c r="C231" t="str">
        <f t="shared" si="5"/>
        <v>WF</v>
      </c>
    </row>
    <row r="232" spans="1:3">
      <c r="A232">
        <v>15341</v>
      </c>
      <c r="B232" t="s">
        <v>312</v>
      </c>
      <c r="C232" t="str">
        <f t="shared" si="5"/>
        <v>WF</v>
      </c>
    </row>
    <row r="233" spans="1:3">
      <c r="A233">
        <v>15342</v>
      </c>
      <c r="B233" t="s">
        <v>313</v>
      </c>
      <c r="C233" t="str">
        <f t="shared" si="5"/>
        <v>WF</v>
      </c>
    </row>
    <row r="234" spans="1:3">
      <c r="A234">
        <v>15343</v>
      </c>
      <c r="B234" t="s">
        <v>314</v>
      </c>
      <c r="C234" t="str">
        <f t="shared" si="5"/>
        <v>WF</v>
      </c>
    </row>
    <row r="235" spans="1:3">
      <c r="A235">
        <v>15344</v>
      </c>
      <c r="B235" t="s">
        <v>315</v>
      </c>
      <c r="C235" t="str">
        <f t="shared" si="5"/>
        <v>WF</v>
      </c>
    </row>
    <row r="236" spans="1:3">
      <c r="A236">
        <v>15345</v>
      </c>
      <c r="B236" t="s">
        <v>316</v>
      </c>
      <c r="C236" t="str">
        <f t="shared" si="5"/>
        <v>WF</v>
      </c>
    </row>
    <row r="237" spans="1:3">
      <c r="A237">
        <v>15346</v>
      </c>
      <c r="B237" t="s">
        <v>317</v>
      </c>
      <c r="C237" t="str">
        <f t="shared" si="5"/>
        <v>WF</v>
      </c>
    </row>
    <row r="238" spans="1:3">
      <c r="A238">
        <v>15347</v>
      </c>
      <c r="B238" t="s">
        <v>318</v>
      </c>
      <c r="C238" t="str">
        <f t="shared" si="5"/>
        <v>WF</v>
      </c>
    </row>
    <row r="239" spans="1:3">
      <c r="A239">
        <v>15348</v>
      </c>
      <c r="B239" t="s">
        <v>319</v>
      </c>
      <c r="C239" t="str">
        <f t="shared" si="5"/>
        <v>WF</v>
      </c>
    </row>
    <row r="240" spans="1:3">
      <c r="A240">
        <v>15349</v>
      </c>
      <c r="B240" t="s">
        <v>320</v>
      </c>
      <c r="C240" t="str">
        <f t="shared" si="5"/>
        <v>WF</v>
      </c>
    </row>
    <row r="241" spans="1:3">
      <c r="A241">
        <v>15350</v>
      </c>
      <c r="B241" t="s">
        <v>321</v>
      </c>
      <c r="C241" t="str">
        <f t="shared" si="5"/>
        <v>WF</v>
      </c>
    </row>
    <row r="242" spans="1:3">
      <c r="A242">
        <v>15351</v>
      </c>
      <c r="B242" t="s">
        <v>322</v>
      </c>
      <c r="C242" t="str">
        <f t="shared" si="5"/>
        <v>WF</v>
      </c>
    </row>
    <row r="243" spans="1:3">
      <c r="A243">
        <v>15352</v>
      </c>
      <c r="B243" t="s">
        <v>323</v>
      </c>
      <c r="C243" t="str">
        <f t="shared" si="5"/>
        <v>WF</v>
      </c>
    </row>
    <row r="244" spans="1:3">
      <c r="A244">
        <v>15353</v>
      </c>
      <c r="B244" t="s">
        <v>324</v>
      </c>
      <c r="C244" t="str">
        <f t="shared" si="5"/>
        <v>WF</v>
      </c>
    </row>
    <row r="245" spans="1:3">
      <c r="A245">
        <v>15354</v>
      </c>
      <c r="B245" t="s">
        <v>325</v>
      </c>
      <c r="C245" t="str">
        <f t="shared" si="5"/>
        <v>WF</v>
      </c>
    </row>
    <row r="246" spans="1:3">
      <c r="A246">
        <v>15355</v>
      </c>
      <c r="B246" t="s">
        <v>326</v>
      </c>
      <c r="C246" t="str">
        <f t="shared" si="5"/>
        <v>WF</v>
      </c>
    </row>
    <row r="247" spans="1:3">
      <c r="A247">
        <v>15356</v>
      </c>
      <c r="B247" t="s">
        <v>327</v>
      </c>
      <c r="C247" t="str">
        <f t="shared" si="5"/>
        <v>WF</v>
      </c>
    </row>
    <row r="248" spans="1:3">
      <c r="A248">
        <v>15357</v>
      </c>
      <c r="B248" t="s">
        <v>328</v>
      </c>
      <c r="C248" t="str">
        <f t="shared" si="5"/>
        <v>WF</v>
      </c>
    </row>
    <row r="249" spans="1:3">
      <c r="A249">
        <v>15358</v>
      </c>
      <c r="B249" t="s">
        <v>329</v>
      </c>
      <c r="C249" t="str">
        <f t="shared" si="5"/>
        <v>WF</v>
      </c>
    </row>
    <row r="250" spans="1:3">
      <c r="A250">
        <v>15359</v>
      </c>
      <c r="B250" t="s">
        <v>330</v>
      </c>
      <c r="C250" t="str">
        <f t="shared" si="5"/>
        <v>WF</v>
      </c>
    </row>
    <row r="251" spans="1:3">
      <c r="A251">
        <v>15360</v>
      </c>
      <c r="B251" t="s">
        <v>331</v>
      </c>
      <c r="C251" t="str">
        <f t="shared" si="5"/>
        <v>WF</v>
      </c>
    </row>
    <row r="252" spans="1:3">
      <c r="A252">
        <v>15361</v>
      </c>
      <c r="B252" t="s">
        <v>332</v>
      </c>
      <c r="C252" t="str">
        <f t="shared" si="5"/>
        <v>WF</v>
      </c>
    </row>
    <row r="253" spans="1:3">
      <c r="A253">
        <v>15362</v>
      </c>
      <c r="B253" t="s">
        <v>333</v>
      </c>
      <c r="C253" t="str">
        <f t="shared" si="5"/>
        <v>WF</v>
      </c>
    </row>
    <row r="254" spans="1:3">
      <c r="A254">
        <v>15363</v>
      </c>
      <c r="B254" t="s">
        <v>334</v>
      </c>
      <c r="C254" t="str">
        <f t="shared" si="5"/>
        <v>WF</v>
      </c>
    </row>
    <row r="255" spans="1:3">
      <c r="A255">
        <v>15364</v>
      </c>
      <c r="B255" t="s">
        <v>335</v>
      </c>
      <c r="C255" t="str">
        <f t="shared" si="5"/>
        <v>WF</v>
      </c>
    </row>
    <row r="256" spans="1:3">
      <c r="A256">
        <v>15365</v>
      </c>
      <c r="B256" t="s">
        <v>336</v>
      </c>
      <c r="C256" t="str">
        <f t="shared" si="5"/>
        <v>WF</v>
      </c>
    </row>
    <row r="257" spans="1:3">
      <c r="A257">
        <v>15366</v>
      </c>
      <c r="B257" t="s">
        <v>337</v>
      </c>
      <c r="C257" t="str">
        <f t="shared" si="5"/>
        <v>WF</v>
      </c>
    </row>
    <row r="258" spans="1:3">
      <c r="A258">
        <v>15367</v>
      </c>
      <c r="B258" t="s">
        <v>338</v>
      </c>
      <c r="C258" t="str">
        <f t="shared" si="5"/>
        <v>WF</v>
      </c>
    </row>
    <row r="259" spans="1:3">
      <c r="A259">
        <v>15368</v>
      </c>
      <c r="B259" t="s">
        <v>339</v>
      </c>
      <c r="C259" t="str">
        <f t="shared" ref="C259:C322" si="6">IF(ISNA(VLOOKUP(A259,$F$2:$H$120,3,FALSE)),"WF",VLOOKUP(A259,$F$2:$H$120,3,FALSE))</f>
        <v>WF</v>
      </c>
    </row>
    <row r="260" spans="1:3">
      <c r="A260">
        <v>15369</v>
      </c>
      <c r="B260" t="s">
        <v>340</v>
      </c>
      <c r="C260" t="str">
        <f t="shared" si="6"/>
        <v>WF</v>
      </c>
    </row>
    <row r="261" spans="1:3">
      <c r="A261">
        <v>15370</v>
      </c>
      <c r="B261" t="s">
        <v>341</v>
      </c>
      <c r="C261" t="str">
        <f t="shared" si="6"/>
        <v>WF</v>
      </c>
    </row>
    <row r="262" spans="1:3">
      <c r="A262">
        <v>15371</v>
      </c>
      <c r="B262" t="s">
        <v>342</v>
      </c>
      <c r="C262" t="str">
        <f t="shared" si="6"/>
        <v>WF</v>
      </c>
    </row>
    <row r="263" spans="1:3">
      <c r="A263">
        <v>15372</v>
      </c>
      <c r="B263" t="s">
        <v>343</v>
      </c>
      <c r="C263" t="str">
        <f t="shared" si="6"/>
        <v>WF</v>
      </c>
    </row>
    <row r="264" spans="1:3">
      <c r="A264">
        <v>15373</v>
      </c>
      <c r="B264" t="s">
        <v>344</v>
      </c>
      <c r="C264" t="str">
        <f t="shared" si="6"/>
        <v>WF</v>
      </c>
    </row>
    <row r="265" spans="1:3">
      <c r="A265">
        <v>15374</v>
      </c>
      <c r="B265" t="s">
        <v>345</v>
      </c>
      <c r="C265" t="str">
        <f t="shared" si="6"/>
        <v>WF</v>
      </c>
    </row>
    <row r="266" spans="1:3">
      <c r="A266">
        <v>15375</v>
      </c>
      <c r="B266" t="s">
        <v>346</v>
      </c>
      <c r="C266" t="str">
        <f t="shared" si="6"/>
        <v>WF</v>
      </c>
    </row>
    <row r="267" spans="1:3">
      <c r="A267">
        <v>15376</v>
      </c>
      <c r="B267" t="s">
        <v>347</v>
      </c>
      <c r="C267" t="str">
        <f t="shared" si="6"/>
        <v>WF</v>
      </c>
    </row>
    <row r="268" spans="1:3">
      <c r="A268">
        <v>15377</v>
      </c>
      <c r="B268" t="s">
        <v>348</v>
      </c>
      <c r="C268" t="str">
        <f t="shared" si="6"/>
        <v>WF</v>
      </c>
    </row>
    <row r="269" spans="1:3">
      <c r="A269">
        <v>15378</v>
      </c>
      <c r="B269" t="s">
        <v>349</v>
      </c>
      <c r="C269" t="str">
        <f t="shared" si="6"/>
        <v>WF</v>
      </c>
    </row>
    <row r="270" spans="1:3">
      <c r="A270">
        <v>15379</v>
      </c>
      <c r="B270" t="s">
        <v>350</v>
      </c>
      <c r="C270" t="str">
        <f t="shared" si="6"/>
        <v>WF</v>
      </c>
    </row>
    <row r="271" spans="1:3">
      <c r="A271">
        <v>15380</v>
      </c>
      <c r="B271" t="s">
        <v>351</v>
      </c>
      <c r="C271" t="str">
        <f t="shared" si="6"/>
        <v>WF</v>
      </c>
    </row>
    <row r="272" spans="1:3">
      <c r="A272">
        <v>15381</v>
      </c>
      <c r="B272" t="s">
        <v>352</v>
      </c>
      <c r="C272" t="str">
        <f t="shared" si="6"/>
        <v>WF</v>
      </c>
    </row>
    <row r="273" spans="1:3">
      <c r="A273">
        <v>15382</v>
      </c>
      <c r="B273" t="s">
        <v>353</v>
      </c>
      <c r="C273" t="str">
        <f t="shared" si="6"/>
        <v>WF</v>
      </c>
    </row>
    <row r="274" spans="1:3">
      <c r="A274">
        <v>15383</v>
      </c>
      <c r="B274" t="s">
        <v>354</v>
      </c>
      <c r="C274" t="str">
        <f t="shared" si="6"/>
        <v>WF</v>
      </c>
    </row>
    <row r="275" spans="1:3">
      <c r="A275">
        <v>15384</v>
      </c>
      <c r="B275" t="s">
        <v>355</v>
      </c>
      <c r="C275" t="str">
        <f t="shared" si="6"/>
        <v>WF</v>
      </c>
    </row>
    <row r="276" spans="1:3">
      <c r="A276">
        <v>15385</v>
      </c>
      <c r="B276" t="s">
        <v>356</v>
      </c>
      <c r="C276" t="str">
        <f t="shared" si="6"/>
        <v>WF</v>
      </c>
    </row>
    <row r="277" spans="1:3">
      <c r="A277">
        <v>15386</v>
      </c>
      <c r="B277" t="s">
        <v>357</v>
      </c>
      <c r="C277" t="str">
        <f t="shared" si="6"/>
        <v>WF</v>
      </c>
    </row>
    <row r="278" spans="1:3">
      <c r="A278">
        <v>15387</v>
      </c>
      <c r="B278" t="s">
        <v>358</v>
      </c>
      <c r="C278" t="str">
        <f t="shared" si="6"/>
        <v>WF</v>
      </c>
    </row>
    <row r="279" spans="1:3">
      <c r="A279">
        <v>15388</v>
      </c>
      <c r="B279" t="s">
        <v>359</v>
      </c>
      <c r="C279" t="str">
        <f t="shared" si="6"/>
        <v>WF</v>
      </c>
    </row>
    <row r="280" spans="1:3">
      <c r="A280">
        <v>15389</v>
      </c>
      <c r="B280" t="s">
        <v>360</v>
      </c>
      <c r="C280" t="str">
        <f t="shared" si="6"/>
        <v>WF</v>
      </c>
    </row>
    <row r="281" spans="1:3">
      <c r="A281">
        <v>15390</v>
      </c>
      <c r="B281" t="s">
        <v>361</v>
      </c>
      <c r="C281" t="str">
        <f t="shared" si="6"/>
        <v>WF</v>
      </c>
    </row>
    <row r="282" spans="1:3">
      <c r="A282">
        <v>15391</v>
      </c>
      <c r="B282" t="s">
        <v>362</v>
      </c>
      <c r="C282" t="str">
        <f t="shared" si="6"/>
        <v>WF</v>
      </c>
    </row>
    <row r="283" spans="1:3">
      <c r="A283">
        <v>15392</v>
      </c>
      <c r="B283" t="s">
        <v>363</v>
      </c>
      <c r="C283" t="str">
        <f t="shared" si="6"/>
        <v>WF</v>
      </c>
    </row>
    <row r="284" spans="1:3">
      <c r="A284">
        <v>15393</v>
      </c>
      <c r="B284" t="s">
        <v>364</v>
      </c>
      <c r="C284" t="str">
        <f t="shared" si="6"/>
        <v>WF</v>
      </c>
    </row>
    <row r="285" spans="1:3">
      <c r="A285">
        <v>15394</v>
      </c>
      <c r="B285" t="s">
        <v>365</v>
      </c>
      <c r="C285" t="str">
        <f t="shared" si="6"/>
        <v>WF</v>
      </c>
    </row>
    <row r="286" spans="1:3">
      <c r="A286">
        <v>15395</v>
      </c>
      <c r="B286" t="s">
        <v>366</v>
      </c>
      <c r="C286" t="str">
        <f t="shared" si="6"/>
        <v>WF</v>
      </c>
    </row>
    <row r="287" spans="1:3">
      <c r="A287">
        <v>15396</v>
      </c>
      <c r="B287" t="s">
        <v>367</v>
      </c>
      <c r="C287" t="str">
        <f t="shared" si="6"/>
        <v>WF</v>
      </c>
    </row>
    <row r="288" spans="1:3">
      <c r="A288">
        <v>15397</v>
      </c>
      <c r="B288" t="s">
        <v>368</v>
      </c>
      <c r="C288" t="str">
        <f t="shared" si="6"/>
        <v>WF</v>
      </c>
    </row>
    <row r="289" spans="1:3">
      <c r="A289">
        <v>15398</v>
      </c>
      <c r="B289" t="s">
        <v>369</v>
      </c>
      <c r="C289" t="str">
        <f t="shared" si="6"/>
        <v>WF</v>
      </c>
    </row>
    <row r="290" spans="1:3">
      <c r="A290">
        <v>15399</v>
      </c>
      <c r="B290" t="s">
        <v>370</v>
      </c>
      <c r="C290" t="str">
        <f t="shared" si="6"/>
        <v>WF</v>
      </c>
    </row>
    <row r="291" spans="1:3">
      <c r="A291">
        <v>15400</v>
      </c>
      <c r="B291" t="s">
        <v>371</v>
      </c>
      <c r="C291" t="str">
        <f t="shared" si="6"/>
        <v>WF</v>
      </c>
    </row>
    <row r="292" spans="1:3">
      <c r="A292">
        <v>15401</v>
      </c>
      <c r="B292" t="s">
        <v>372</v>
      </c>
      <c r="C292" t="str">
        <f t="shared" si="6"/>
        <v>WF</v>
      </c>
    </row>
    <row r="293" spans="1:3">
      <c r="A293">
        <v>15402</v>
      </c>
      <c r="B293" t="s">
        <v>373</v>
      </c>
      <c r="C293" t="str">
        <f t="shared" si="6"/>
        <v>WF</v>
      </c>
    </row>
    <row r="294" spans="1:3">
      <c r="A294">
        <v>15403</v>
      </c>
      <c r="B294" t="s">
        <v>374</v>
      </c>
      <c r="C294" t="str">
        <f t="shared" si="6"/>
        <v>WF</v>
      </c>
    </row>
    <row r="295" spans="1:3">
      <c r="A295">
        <v>15404</v>
      </c>
      <c r="B295" t="s">
        <v>375</v>
      </c>
      <c r="C295" t="str">
        <f t="shared" si="6"/>
        <v>WF</v>
      </c>
    </row>
    <row r="296" spans="1:3">
      <c r="A296">
        <v>15405</v>
      </c>
      <c r="B296" t="s">
        <v>376</v>
      </c>
      <c r="C296" t="str">
        <f t="shared" si="6"/>
        <v>WF</v>
      </c>
    </row>
    <row r="297" spans="1:3">
      <c r="A297">
        <v>15406</v>
      </c>
      <c r="B297" t="s">
        <v>377</v>
      </c>
      <c r="C297" t="str">
        <f t="shared" si="6"/>
        <v>WF</v>
      </c>
    </row>
    <row r="298" spans="1:3">
      <c r="A298">
        <v>15407</v>
      </c>
      <c r="B298" t="s">
        <v>378</v>
      </c>
      <c r="C298" t="str">
        <f t="shared" si="6"/>
        <v>WF</v>
      </c>
    </row>
    <row r="299" spans="1:3">
      <c r="A299">
        <v>15408</v>
      </c>
      <c r="B299" t="s">
        <v>379</v>
      </c>
      <c r="C299" t="str">
        <f t="shared" si="6"/>
        <v>WF</v>
      </c>
    </row>
    <row r="300" spans="1:3">
      <c r="A300">
        <v>15409</v>
      </c>
      <c r="B300" t="s">
        <v>380</v>
      </c>
      <c r="C300" t="str">
        <f t="shared" si="6"/>
        <v>WF</v>
      </c>
    </row>
    <row r="301" spans="1:3">
      <c r="A301">
        <v>15410</v>
      </c>
      <c r="B301" t="s">
        <v>381</v>
      </c>
      <c r="C301" t="str">
        <f t="shared" si="6"/>
        <v>WF</v>
      </c>
    </row>
    <row r="302" spans="1:3">
      <c r="A302">
        <v>15411</v>
      </c>
      <c r="B302" t="s">
        <v>382</v>
      </c>
      <c r="C302" t="str">
        <f t="shared" si="6"/>
        <v>WF</v>
      </c>
    </row>
    <row r="303" spans="1:3">
      <c r="A303">
        <v>15412</v>
      </c>
      <c r="B303" t="s">
        <v>383</v>
      </c>
      <c r="C303" t="str">
        <f t="shared" si="6"/>
        <v>WF</v>
      </c>
    </row>
    <row r="304" spans="1:3">
      <c r="A304">
        <v>15413</v>
      </c>
      <c r="B304" t="s">
        <v>384</v>
      </c>
      <c r="C304" t="str">
        <f t="shared" si="6"/>
        <v>WF</v>
      </c>
    </row>
    <row r="305" spans="1:3">
      <c r="A305">
        <v>15414</v>
      </c>
      <c r="B305" t="s">
        <v>385</v>
      </c>
      <c r="C305" t="str">
        <f t="shared" si="6"/>
        <v>WF</v>
      </c>
    </row>
    <row r="306" spans="1:3">
      <c r="A306">
        <v>15415</v>
      </c>
      <c r="B306" t="s">
        <v>386</v>
      </c>
      <c r="C306" t="str">
        <f t="shared" si="6"/>
        <v>WF</v>
      </c>
    </row>
    <row r="307" spans="1:3">
      <c r="A307">
        <v>15416</v>
      </c>
      <c r="B307" t="s">
        <v>387</v>
      </c>
      <c r="C307" t="str">
        <f t="shared" si="6"/>
        <v>WF</v>
      </c>
    </row>
    <row r="308" spans="1:3">
      <c r="A308">
        <v>15417</v>
      </c>
      <c r="B308" t="s">
        <v>388</v>
      </c>
      <c r="C308" t="str">
        <f t="shared" si="6"/>
        <v>WF</v>
      </c>
    </row>
    <row r="309" spans="1:3">
      <c r="A309">
        <v>15418</v>
      </c>
      <c r="B309" t="s">
        <v>389</v>
      </c>
      <c r="C309" t="str">
        <f t="shared" si="6"/>
        <v>WF</v>
      </c>
    </row>
    <row r="310" spans="1:3">
      <c r="A310">
        <v>15419</v>
      </c>
      <c r="B310" t="s">
        <v>390</v>
      </c>
      <c r="C310" t="str">
        <f t="shared" si="6"/>
        <v>WF</v>
      </c>
    </row>
    <row r="311" spans="1:3">
      <c r="A311">
        <v>15420</v>
      </c>
      <c r="B311" t="s">
        <v>391</v>
      </c>
      <c r="C311" t="str">
        <f t="shared" si="6"/>
        <v>WF</v>
      </c>
    </row>
    <row r="312" spans="1:3">
      <c r="A312">
        <v>15421</v>
      </c>
      <c r="B312" t="s">
        <v>392</v>
      </c>
      <c r="C312" t="str">
        <f t="shared" si="6"/>
        <v>WF</v>
      </c>
    </row>
    <row r="313" spans="1:3">
      <c r="A313">
        <v>15422</v>
      </c>
      <c r="B313" t="s">
        <v>393</v>
      </c>
      <c r="C313" t="str">
        <f t="shared" si="6"/>
        <v>WF</v>
      </c>
    </row>
    <row r="314" spans="1:3">
      <c r="A314">
        <v>15423</v>
      </c>
      <c r="B314" t="s">
        <v>394</v>
      </c>
      <c r="C314" t="str">
        <f t="shared" si="6"/>
        <v>WF</v>
      </c>
    </row>
    <row r="315" spans="1:3">
      <c r="A315">
        <v>15424</v>
      </c>
      <c r="B315" t="s">
        <v>395</v>
      </c>
      <c r="C315" t="str">
        <f t="shared" si="6"/>
        <v>WF</v>
      </c>
    </row>
    <row r="316" spans="1:3">
      <c r="A316">
        <v>15425</v>
      </c>
      <c r="B316" t="s">
        <v>396</v>
      </c>
      <c r="C316" t="str">
        <f t="shared" si="6"/>
        <v>WF</v>
      </c>
    </row>
    <row r="317" spans="1:3">
      <c r="A317">
        <v>15426</v>
      </c>
      <c r="B317" t="s">
        <v>397</v>
      </c>
      <c r="C317" t="str">
        <f t="shared" si="6"/>
        <v>WF</v>
      </c>
    </row>
    <row r="318" spans="1:3">
      <c r="A318">
        <v>15427</v>
      </c>
      <c r="B318" t="s">
        <v>398</v>
      </c>
      <c r="C318" t="str">
        <f t="shared" si="6"/>
        <v>WF</v>
      </c>
    </row>
    <row r="319" spans="1:3">
      <c r="A319">
        <v>15428</v>
      </c>
      <c r="B319" t="s">
        <v>399</v>
      </c>
      <c r="C319" t="str">
        <f t="shared" si="6"/>
        <v>WF</v>
      </c>
    </row>
    <row r="320" spans="1:3">
      <c r="A320">
        <v>15429</v>
      </c>
      <c r="B320" t="s">
        <v>400</v>
      </c>
      <c r="C320" t="str">
        <f t="shared" si="6"/>
        <v>WF</v>
      </c>
    </row>
    <row r="321" spans="1:3">
      <c r="A321">
        <v>15430</v>
      </c>
      <c r="B321" t="s">
        <v>401</v>
      </c>
      <c r="C321" t="str">
        <f t="shared" si="6"/>
        <v>WF</v>
      </c>
    </row>
    <row r="322" spans="1:3">
      <c r="A322">
        <v>15431</v>
      </c>
      <c r="B322" t="s">
        <v>402</v>
      </c>
      <c r="C322" t="str">
        <f t="shared" si="6"/>
        <v>WF</v>
      </c>
    </row>
    <row r="323" spans="1:3">
      <c r="A323">
        <v>15432</v>
      </c>
      <c r="B323" t="s">
        <v>403</v>
      </c>
      <c r="C323" t="str">
        <f t="shared" ref="C323:C386" si="7">IF(ISNA(VLOOKUP(A323,$F$2:$H$120,3,FALSE)),"WF",VLOOKUP(A323,$F$2:$H$120,3,FALSE))</f>
        <v>WF</v>
      </c>
    </row>
    <row r="324" spans="1:3">
      <c r="A324">
        <v>15433</v>
      </c>
      <c r="B324" t="s">
        <v>404</v>
      </c>
      <c r="C324" t="str">
        <f t="shared" si="7"/>
        <v>WF</v>
      </c>
    </row>
    <row r="325" spans="1:3">
      <c r="A325">
        <v>15434</v>
      </c>
      <c r="B325" t="s">
        <v>405</v>
      </c>
      <c r="C325" t="str">
        <f t="shared" si="7"/>
        <v>WF</v>
      </c>
    </row>
    <row r="326" spans="1:3">
      <c r="A326">
        <v>15435</v>
      </c>
      <c r="B326" t="s">
        <v>406</v>
      </c>
      <c r="C326" t="str">
        <f t="shared" si="7"/>
        <v>WF</v>
      </c>
    </row>
    <row r="327" spans="1:3">
      <c r="A327">
        <v>15436</v>
      </c>
      <c r="B327" t="s">
        <v>407</v>
      </c>
      <c r="C327" t="str">
        <f t="shared" si="7"/>
        <v>WF</v>
      </c>
    </row>
    <row r="328" spans="1:3">
      <c r="A328">
        <v>15437</v>
      </c>
      <c r="B328" t="s">
        <v>408</v>
      </c>
      <c r="C328" t="str">
        <f t="shared" si="7"/>
        <v>WF</v>
      </c>
    </row>
    <row r="329" spans="1:3">
      <c r="A329">
        <v>15438</v>
      </c>
      <c r="B329" t="s">
        <v>409</v>
      </c>
      <c r="C329" t="str">
        <f t="shared" si="7"/>
        <v>WF</v>
      </c>
    </row>
    <row r="330" spans="1:3">
      <c r="A330">
        <v>15439</v>
      </c>
      <c r="B330" t="s">
        <v>410</v>
      </c>
      <c r="C330" t="str">
        <f t="shared" si="7"/>
        <v>WF</v>
      </c>
    </row>
    <row r="331" spans="1:3">
      <c r="A331">
        <v>15440</v>
      </c>
      <c r="B331" t="s">
        <v>411</v>
      </c>
      <c r="C331" t="str">
        <f t="shared" si="7"/>
        <v>WF</v>
      </c>
    </row>
    <row r="332" spans="1:3">
      <c r="A332">
        <v>15441</v>
      </c>
      <c r="B332" t="s">
        <v>412</v>
      </c>
      <c r="C332" t="str">
        <f t="shared" si="7"/>
        <v>WF</v>
      </c>
    </row>
    <row r="333" spans="1:3">
      <c r="A333">
        <v>15442</v>
      </c>
      <c r="B333" t="s">
        <v>413</v>
      </c>
      <c r="C333" t="str">
        <f t="shared" si="7"/>
        <v>WF</v>
      </c>
    </row>
    <row r="334" spans="1:3">
      <c r="A334">
        <v>15443</v>
      </c>
      <c r="B334" t="s">
        <v>414</v>
      </c>
      <c r="C334" t="str">
        <f t="shared" si="7"/>
        <v>WF</v>
      </c>
    </row>
    <row r="335" spans="1:3">
      <c r="A335">
        <v>15444</v>
      </c>
      <c r="B335" t="s">
        <v>415</v>
      </c>
      <c r="C335" t="str">
        <f t="shared" si="7"/>
        <v>WF</v>
      </c>
    </row>
    <row r="336" spans="1:3">
      <c r="A336">
        <v>15445</v>
      </c>
      <c r="B336" t="s">
        <v>416</v>
      </c>
      <c r="C336" t="str">
        <f t="shared" si="7"/>
        <v>WF</v>
      </c>
    </row>
    <row r="337" spans="1:3">
      <c r="A337">
        <v>15446</v>
      </c>
      <c r="B337" t="s">
        <v>417</v>
      </c>
      <c r="C337" t="str">
        <f t="shared" si="7"/>
        <v>WF</v>
      </c>
    </row>
    <row r="338" spans="1:3">
      <c r="A338">
        <v>15447</v>
      </c>
      <c r="B338" t="s">
        <v>418</v>
      </c>
      <c r="C338" t="str">
        <f t="shared" si="7"/>
        <v>WF</v>
      </c>
    </row>
    <row r="339" spans="1:3">
      <c r="A339">
        <v>15448</v>
      </c>
      <c r="B339" t="s">
        <v>419</v>
      </c>
      <c r="C339" t="str">
        <f t="shared" si="7"/>
        <v>WF</v>
      </c>
    </row>
    <row r="340" spans="1:3">
      <c r="A340">
        <v>15449</v>
      </c>
      <c r="B340" t="s">
        <v>420</v>
      </c>
      <c r="C340" t="str">
        <f t="shared" si="7"/>
        <v>WF</v>
      </c>
    </row>
    <row r="341" spans="1:3">
      <c r="A341">
        <v>15450</v>
      </c>
      <c r="B341" t="s">
        <v>421</v>
      </c>
      <c r="C341" t="str">
        <f t="shared" si="7"/>
        <v>WF</v>
      </c>
    </row>
    <row r="342" spans="1:3">
      <c r="A342">
        <v>15451</v>
      </c>
      <c r="B342" t="s">
        <v>422</v>
      </c>
      <c r="C342" t="str">
        <f t="shared" si="7"/>
        <v>WF</v>
      </c>
    </row>
    <row r="343" spans="1:3">
      <c r="A343">
        <v>15452</v>
      </c>
      <c r="B343" t="s">
        <v>423</v>
      </c>
      <c r="C343" t="str">
        <f t="shared" si="7"/>
        <v>WF</v>
      </c>
    </row>
    <row r="344" spans="1:3">
      <c r="A344">
        <v>15453</v>
      </c>
      <c r="B344" t="s">
        <v>424</v>
      </c>
      <c r="C344" t="str">
        <f t="shared" si="7"/>
        <v>WF</v>
      </c>
    </row>
    <row r="345" spans="1:3">
      <c r="A345">
        <v>15454</v>
      </c>
      <c r="B345" t="s">
        <v>425</v>
      </c>
      <c r="C345" t="str">
        <f t="shared" si="7"/>
        <v>WF</v>
      </c>
    </row>
    <row r="346" spans="1:3">
      <c r="A346">
        <v>15455</v>
      </c>
      <c r="B346" t="s">
        <v>426</v>
      </c>
      <c r="C346" t="str">
        <f t="shared" si="7"/>
        <v>WF</v>
      </c>
    </row>
    <row r="347" spans="1:3">
      <c r="A347">
        <v>15456</v>
      </c>
      <c r="B347" t="s">
        <v>427</v>
      </c>
      <c r="C347" t="str">
        <f t="shared" si="7"/>
        <v>WF</v>
      </c>
    </row>
    <row r="348" spans="1:3">
      <c r="A348">
        <v>15457</v>
      </c>
      <c r="B348" t="s">
        <v>428</v>
      </c>
      <c r="C348" t="str">
        <f t="shared" si="7"/>
        <v>WF</v>
      </c>
    </row>
    <row r="349" spans="1:3">
      <c r="A349">
        <v>15458</v>
      </c>
      <c r="B349" t="s">
        <v>429</v>
      </c>
      <c r="C349" t="str">
        <f t="shared" si="7"/>
        <v>WF</v>
      </c>
    </row>
    <row r="350" spans="1:3">
      <c r="A350">
        <v>15459</v>
      </c>
      <c r="B350" t="s">
        <v>430</v>
      </c>
      <c r="C350" t="str">
        <f t="shared" si="7"/>
        <v>WF</v>
      </c>
    </row>
    <row r="351" spans="1:3">
      <c r="A351">
        <v>15460</v>
      </c>
      <c r="B351" t="s">
        <v>431</v>
      </c>
      <c r="C351" t="str">
        <f t="shared" si="7"/>
        <v>WF</v>
      </c>
    </row>
    <row r="352" spans="1:3">
      <c r="A352">
        <v>15461</v>
      </c>
      <c r="B352" t="s">
        <v>432</v>
      </c>
      <c r="C352" t="str">
        <f t="shared" si="7"/>
        <v>WF</v>
      </c>
    </row>
    <row r="353" spans="1:3">
      <c r="A353">
        <v>15462</v>
      </c>
      <c r="B353" t="s">
        <v>433</v>
      </c>
      <c r="C353" t="str">
        <f t="shared" si="7"/>
        <v>WF</v>
      </c>
    </row>
    <row r="354" spans="1:3">
      <c r="A354">
        <v>15463</v>
      </c>
      <c r="B354" t="s">
        <v>434</v>
      </c>
      <c r="C354" t="str">
        <f t="shared" si="7"/>
        <v>WF</v>
      </c>
    </row>
    <row r="355" spans="1:3">
      <c r="A355">
        <v>15464</v>
      </c>
      <c r="B355" t="s">
        <v>435</v>
      </c>
      <c r="C355" t="str">
        <f t="shared" si="7"/>
        <v>WF</v>
      </c>
    </row>
    <row r="356" spans="1:3">
      <c r="A356">
        <v>15465</v>
      </c>
      <c r="B356" t="s">
        <v>436</v>
      </c>
      <c r="C356" t="str">
        <f t="shared" si="7"/>
        <v>WF</v>
      </c>
    </row>
    <row r="357" spans="1:3">
      <c r="A357">
        <v>15466</v>
      </c>
      <c r="B357" t="s">
        <v>437</v>
      </c>
      <c r="C357" t="str">
        <f t="shared" si="7"/>
        <v>WF</v>
      </c>
    </row>
    <row r="358" spans="1:3">
      <c r="A358">
        <v>15467</v>
      </c>
      <c r="B358" t="s">
        <v>438</v>
      </c>
      <c r="C358" t="str">
        <f t="shared" si="7"/>
        <v>WF</v>
      </c>
    </row>
    <row r="359" spans="1:3">
      <c r="A359">
        <v>15468</v>
      </c>
      <c r="B359" t="s">
        <v>439</v>
      </c>
      <c r="C359" t="str">
        <f t="shared" si="7"/>
        <v>WF</v>
      </c>
    </row>
    <row r="360" spans="1:3">
      <c r="A360">
        <v>15469</v>
      </c>
      <c r="B360" t="s">
        <v>440</v>
      </c>
      <c r="C360" t="str">
        <f t="shared" si="7"/>
        <v>WF</v>
      </c>
    </row>
    <row r="361" spans="1:3">
      <c r="A361">
        <v>15470</v>
      </c>
      <c r="B361" t="s">
        <v>441</v>
      </c>
      <c r="C361" t="str">
        <f t="shared" si="7"/>
        <v>WF</v>
      </c>
    </row>
    <row r="362" spans="1:3">
      <c r="A362">
        <v>15471</v>
      </c>
      <c r="B362" t="s">
        <v>442</v>
      </c>
      <c r="C362" t="str">
        <f t="shared" si="7"/>
        <v>WF</v>
      </c>
    </row>
    <row r="363" spans="1:3">
      <c r="A363">
        <v>15472</v>
      </c>
      <c r="B363" t="s">
        <v>443</v>
      </c>
      <c r="C363" t="str">
        <f t="shared" si="7"/>
        <v>WF</v>
      </c>
    </row>
    <row r="364" spans="1:3">
      <c r="A364">
        <v>15473</v>
      </c>
      <c r="B364" t="s">
        <v>444</v>
      </c>
      <c r="C364" t="str">
        <f t="shared" si="7"/>
        <v>WF</v>
      </c>
    </row>
    <row r="365" spans="1:3">
      <c r="A365">
        <v>15474</v>
      </c>
      <c r="B365" t="s">
        <v>445</v>
      </c>
      <c r="C365" t="str">
        <f t="shared" si="7"/>
        <v>WF</v>
      </c>
    </row>
    <row r="366" spans="1:3">
      <c r="A366">
        <v>15475</v>
      </c>
      <c r="B366" t="s">
        <v>446</v>
      </c>
      <c r="C366" t="str">
        <f t="shared" si="7"/>
        <v>WF</v>
      </c>
    </row>
    <row r="367" spans="1:3">
      <c r="A367">
        <v>15476</v>
      </c>
      <c r="B367" t="s">
        <v>447</v>
      </c>
      <c r="C367" t="str">
        <f t="shared" si="7"/>
        <v>WF</v>
      </c>
    </row>
    <row r="368" spans="1:3">
      <c r="A368">
        <v>15477</v>
      </c>
      <c r="B368" t="s">
        <v>448</v>
      </c>
      <c r="C368" t="str">
        <f t="shared" si="7"/>
        <v>WF</v>
      </c>
    </row>
    <row r="369" spans="1:3">
      <c r="A369">
        <v>15478</v>
      </c>
      <c r="B369" t="s">
        <v>192</v>
      </c>
      <c r="C369" t="str">
        <f t="shared" si="7"/>
        <v>WF</v>
      </c>
    </row>
    <row r="370" spans="1:3">
      <c r="A370">
        <v>15479</v>
      </c>
      <c r="B370" t="s">
        <v>449</v>
      </c>
      <c r="C370" t="str">
        <f t="shared" si="7"/>
        <v>WF</v>
      </c>
    </row>
    <row r="371" spans="1:3">
      <c r="A371">
        <v>15480</v>
      </c>
      <c r="B371" t="s">
        <v>450</v>
      </c>
      <c r="C371" t="str">
        <f t="shared" si="7"/>
        <v>WF</v>
      </c>
    </row>
    <row r="372" spans="1:3">
      <c r="A372">
        <v>15481</v>
      </c>
      <c r="B372" t="s">
        <v>451</v>
      </c>
      <c r="C372" t="str">
        <f t="shared" si="7"/>
        <v>WF</v>
      </c>
    </row>
    <row r="373" spans="1:3">
      <c r="A373">
        <v>15482</v>
      </c>
      <c r="B373" t="s">
        <v>452</v>
      </c>
      <c r="C373" t="str">
        <f t="shared" si="7"/>
        <v>WF</v>
      </c>
    </row>
    <row r="374" spans="1:3">
      <c r="A374">
        <v>15483</v>
      </c>
      <c r="B374" t="s">
        <v>453</v>
      </c>
      <c r="C374" t="str">
        <f t="shared" si="7"/>
        <v>WF</v>
      </c>
    </row>
    <row r="375" spans="1:3">
      <c r="A375">
        <v>15484</v>
      </c>
      <c r="B375" t="s">
        <v>454</v>
      </c>
      <c r="C375" t="str">
        <f t="shared" si="7"/>
        <v>WF</v>
      </c>
    </row>
    <row r="376" spans="1:3">
      <c r="A376">
        <v>15485</v>
      </c>
      <c r="B376" t="s">
        <v>455</v>
      </c>
      <c r="C376" t="str">
        <f t="shared" si="7"/>
        <v>WF</v>
      </c>
    </row>
    <row r="377" spans="1:3">
      <c r="A377">
        <v>15486</v>
      </c>
      <c r="B377" t="s">
        <v>456</v>
      </c>
      <c r="C377" t="str">
        <f t="shared" si="7"/>
        <v>WF</v>
      </c>
    </row>
    <row r="378" spans="1:3">
      <c r="A378">
        <v>15487</v>
      </c>
      <c r="B378" t="s">
        <v>457</v>
      </c>
      <c r="C378" t="str">
        <f t="shared" si="7"/>
        <v>WF</v>
      </c>
    </row>
    <row r="379" spans="1:3">
      <c r="A379">
        <v>15488</v>
      </c>
      <c r="B379" t="s">
        <v>458</v>
      </c>
      <c r="C379" t="str">
        <f t="shared" si="7"/>
        <v>WF</v>
      </c>
    </row>
    <row r="380" spans="1:3">
      <c r="A380">
        <v>15489</v>
      </c>
      <c r="B380" t="s">
        <v>459</v>
      </c>
      <c r="C380" t="str">
        <f t="shared" si="7"/>
        <v>WF</v>
      </c>
    </row>
    <row r="381" spans="1:3">
      <c r="A381">
        <v>15490</v>
      </c>
      <c r="B381" t="s">
        <v>460</v>
      </c>
      <c r="C381" t="str">
        <f t="shared" si="7"/>
        <v>WF</v>
      </c>
    </row>
    <row r="382" spans="1:3">
      <c r="A382">
        <v>15492</v>
      </c>
      <c r="B382" t="s">
        <v>461</v>
      </c>
      <c r="C382" t="str">
        <f t="shared" si="7"/>
        <v>WF</v>
      </c>
    </row>
    <row r="383" spans="1:3">
      <c r="A383">
        <v>15493</v>
      </c>
      <c r="B383" t="s">
        <v>462</v>
      </c>
      <c r="C383" t="str">
        <f t="shared" si="7"/>
        <v>WF</v>
      </c>
    </row>
    <row r="384" spans="1:3">
      <c r="A384">
        <v>15494</v>
      </c>
      <c r="B384" t="s">
        <v>463</v>
      </c>
      <c r="C384" t="str">
        <f t="shared" si="7"/>
        <v>WF</v>
      </c>
    </row>
    <row r="385" spans="1:3">
      <c r="A385">
        <v>15495</v>
      </c>
      <c r="B385" t="s">
        <v>464</v>
      </c>
      <c r="C385" t="str">
        <f t="shared" si="7"/>
        <v>WF</v>
      </c>
    </row>
    <row r="386" spans="1:3">
      <c r="A386">
        <v>15496</v>
      </c>
      <c r="B386" t="s">
        <v>465</v>
      </c>
      <c r="C386" t="str">
        <f t="shared" si="7"/>
        <v>WF</v>
      </c>
    </row>
    <row r="387" spans="1:3">
      <c r="A387">
        <v>15497</v>
      </c>
      <c r="B387" t="s">
        <v>466</v>
      </c>
      <c r="C387" t="str">
        <f t="shared" ref="C387:C450" si="8">IF(ISNA(VLOOKUP(A387,$F$2:$H$120,3,FALSE)),"WF",VLOOKUP(A387,$F$2:$H$120,3,FALSE))</f>
        <v>WF</v>
      </c>
    </row>
    <row r="388" spans="1:3">
      <c r="A388">
        <v>15498</v>
      </c>
      <c r="B388" t="s">
        <v>467</v>
      </c>
      <c r="C388" t="str">
        <f t="shared" si="8"/>
        <v>WF</v>
      </c>
    </row>
    <row r="389" spans="1:3">
      <c r="A389">
        <v>15499</v>
      </c>
      <c r="B389" t="s">
        <v>468</v>
      </c>
      <c r="C389" t="str">
        <f t="shared" si="8"/>
        <v>WF</v>
      </c>
    </row>
    <row r="390" spans="1:3">
      <c r="A390">
        <v>15500</v>
      </c>
      <c r="B390" t="s">
        <v>469</v>
      </c>
      <c r="C390" t="str">
        <f t="shared" si="8"/>
        <v>WF</v>
      </c>
    </row>
    <row r="391" spans="1:3">
      <c r="A391">
        <v>15501</v>
      </c>
      <c r="B391" t="s">
        <v>470</v>
      </c>
      <c r="C391" t="str">
        <f t="shared" si="8"/>
        <v>WF</v>
      </c>
    </row>
    <row r="392" spans="1:3">
      <c r="A392">
        <v>15502</v>
      </c>
      <c r="B392" t="s">
        <v>471</v>
      </c>
      <c r="C392" t="str">
        <f t="shared" si="8"/>
        <v>WF</v>
      </c>
    </row>
    <row r="393" spans="1:3">
      <c r="A393">
        <v>15503</v>
      </c>
      <c r="B393" t="s">
        <v>472</v>
      </c>
      <c r="C393" t="str">
        <f t="shared" si="8"/>
        <v>WF</v>
      </c>
    </row>
    <row r="394" spans="1:3">
      <c r="A394">
        <v>15504</v>
      </c>
      <c r="B394" t="s">
        <v>473</v>
      </c>
      <c r="C394" t="str">
        <f t="shared" si="8"/>
        <v>WF</v>
      </c>
    </row>
    <row r="395" spans="1:3">
      <c r="A395">
        <v>15505</v>
      </c>
      <c r="B395" t="s">
        <v>474</v>
      </c>
      <c r="C395" t="str">
        <f t="shared" si="8"/>
        <v>WF</v>
      </c>
    </row>
    <row r="396" spans="1:3">
      <c r="A396">
        <v>15506</v>
      </c>
      <c r="B396" t="s">
        <v>475</v>
      </c>
      <c r="C396" t="str">
        <f t="shared" si="8"/>
        <v>WF</v>
      </c>
    </row>
    <row r="397" spans="1:3">
      <c r="A397">
        <v>15507</v>
      </c>
      <c r="B397" t="s">
        <v>476</v>
      </c>
      <c r="C397" t="str">
        <f t="shared" si="8"/>
        <v>WF</v>
      </c>
    </row>
    <row r="398" spans="1:3">
      <c r="A398">
        <v>15508</v>
      </c>
      <c r="B398" t="s">
        <v>477</v>
      </c>
      <c r="C398" t="str">
        <f t="shared" si="8"/>
        <v>WF</v>
      </c>
    </row>
    <row r="399" spans="1:3">
      <c r="A399">
        <v>15509</v>
      </c>
      <c r="B399" t="s">
        <v>478</v>
      </c>
      <c r="C399" t="str">
        <f t="shared" si="8"/>
        <v>WF</v>
      </c>
    </row>
    <row r="400" spans="1:3">
      <c r="A400">
        <v>15510</v>
      </c>
      <c r="B400" t="s">
        <v>479</v>
      </c>
      <c r="C400" t="str">
        <f t="shared" si="8"/>
        <v>WF</v>
      </c>
    </row>
    <row r="401" spans="1:3">
      <c r="A401">
        <v>15511</v>
      </c>
      <c r="B401" t="s">
        <v>480</v>
      </c>
      <c r="C401" t="str">
        <f t="shared" si="8"/>
        <v>WF</v>
      </c>
    </row>
    <row r="402" spans="1:3">
      <c r="A402">
        <v>15512</v>
      </c>
      <c r="B402" t="s">
        <v>481</v>
      </c>
      <c r="C402" t="str">
        <f t="shared" si="8"/>
        <v>WF</v>
      </c>
    </row>
    <row r="403" spans="1:3">
      <c r="A403">
        <v>15513</v>
      </c>
      <c r="B403" t="s">
        <v>482</v>
      </c>
      <c r="C403" t="str">
        <f t="shared" si="8"/>
        <v>WF</v>
      </c>
    </row>
    <row r="404" spans="1:3">
      <c r="A404">
        <v>15514</v>
      </c>
      <c r="B404" t="s">
        <v>483</v>
      </c>
      <c r="C404" t="str">
        <f t="shared" si="8"/>
        <v>WF</v>
      </c>
    </row>
    <row r="405" spans="1:3">
      <c r="A405">
        <v>15515</v>
      </c>
      <c r="B405" t="s">
        <v>484</v>
      </c>
      <c r="C405" t="str">
        <f t="shared" si="8"/>
        <v>WF</v>
      </c>
    </row>
    <row r="406" spans="1:3">
      <c r="A406">
        <v>15516</v>
      </c>
      <c r="B406" t="s">
        <v>485</v>
      </c>
      <c r="C406" t="str">
        <f t="shared" si="8"/>
        <v>WF</v>
      </c>
    </row>
    <row r="407" spans="1:3">
      <c r="A407">
        <v>15517</v>
      </c>
      <c r="B407" t="s">
        <v>486</v>
      </c>
      <c r="C407" t="str">
        <f t="shared" si="8"/>
        <v>WF</v>
      </c>
    </row>
    <row r="408" spans="1:3">
      <c r="A408">
        <v>15518</v>
      </c>
      <c r="B408" t="s">
        <v>487</v>
      </c>
      <c r="C408" t="str">
        <f t="shared" si="8"/>
        <v>WF</v>
      </c>
    </row>
    <row r="409" spans="1:3">
      <c r="A409">
        <v>15519</v>
      </c>
      <c r="B409" t="s">
        <v>488</v>
      </c>
      <c r="C409" t="str">
        <f t="shared" si="8"/>
        <v>WF</v>
      </c>
    </row>
    <row r="410" spans="1:3">
      <c r="A410">
        <v>15520</v>
      </c>
      <c r="B410" t="s">
        <v>489</v>
      </c>
      <c r="C410" t="str">
        <f t="shared" si="8"/>
        <v>WF</v>
      </c>
    </row>
    <row r="411" spans="1:3">
      <c r="A411">
        <v>15521</v>
      </c>
      <c r="B411" t="s">
        <v>490</v>
      </c>
      <c r="C411" t="str">
        <f t="shared" si="8"/>
        <v>WF</v>
      </c>
    </row>
    <row r="412" spans="1:3">
      <c r="A412">
        <v>15522</v>
      </c>
      <c r="B412" t="s">
        <v>491</v>
      </c>
      <c r="C412" t="str">
        <f t="shared" si="8"/>
        <v>WF</v>
      </c>
    </row>
    <row r="413" spans="1:3">
      <c r="A413">
        <v>15523</v>
      </c>
      <c r="B413" t="s">
        <v>492</v>
      </c>
      <c r="C413" t="str">
        <f t="shared" si="8"/>
        <v>WF</v>
      </c>
    </row>
    <row r="414" spans="1:3">
      <c r="A414">
        <v>15524</v>
      </c>
      <c r="B414" t="s">
        <v>493</v>
      </c>
      <c r="C414" t="str">
        <f t="shared" si="8"/>
        <v>WF</v>
      </c>
    </row>
    <row r="415" spans="1:3">
      <c r="A415">
        <v>15525</v>
      </c>
      <c r="B415" t="s">
        <v>494</v>
      </c>
      <c r="C415" t="str">
        <f t="shared" si="8"/>
        <v>WF</v>
      </c>
    </row>
    <row r="416" spans="1:3">
      <c r="A416">
        <v>15526</v>
      </c>
      <c r="B416" t="s">
        <v>495</v>
      </c>
      <c r="C416" t="str">
        <f t="shared" si="8"/>
        <v>WF</v>
      </c>
    </row>
    <row r="417" spans="1:3">
      <c r="A417">
        <v>15527</v>
      </c>
      <c r="B417" t="s">
        <v>496</v>
      </c>
      <c r="C417" t="str">
        <f t="shared" si="8"/>
        <v>WF</v>
      </c>
    </row>
    <row r="418" spans="1:3">
      <c r="A418">
        <v>15528</v>
      </c>
      <c r="B418" t="s">
        <v>497</v>
      </c>
      <c r="C418" t="str">
        <f t="shared" si="8"/>
        <v>WF</v>
      </c>
    </row>
    <row r="419" spans="1:3">
      <c r="A419">
        <v>15529</v>
      </c>
      <c r="B419" t="s">
        <v>498</v>
      </c>
      <c r="C419" t="str">
        <f t="shared" si="8"/>
        <v>WF</v>
      </c>
    </row>
    <row r="420" spans="1:3">
      <c r="A420">
        <v>15530</v>
      </c>
      <c r="B420" t="s">
        <v>499</v>
      </c>
      <c r="C420" t="str">
        <f t="shared" si="8"/>
        <v>WF</v>
      </c>
    </row>
    <row r="421" spans="1:3">
      <c r="A421">
        <v>15531</v>
      </c>
      <c r="B421" t="s">
        <v>500</v>
      </c>
      <c r="C421" t="str">
        <f t="shared" si="8"/>
        <v>WF</v>
      </c>
    </row>
    <row r="422" spans="1:3">
      <c r="A422">
        <v>15532</v>
      </c>
      <c r="B422" t="s">
        <v>501</v>
      </c>
      <c r="C422" t="str">
        <f t="shared" si="8"/>
        <v>WF</v>
      </c>
    </row>
    <row r="423" spans="1:3">
      <c r="A423">
        <v>15533</v>
      </c>
      <c r="B423" t="s">
        <v>502</v>
      </c>
      <c r="C423" t="str">
        <f t="shared" si="8"/>
        <v>WF</v>
      </c>
    </row>
    <row r="424" spans="1:3">
      <c r="A424">
        <v>15534</v>
      </c>
      <c r="B424" t="s">
        <v>503</v>
      </c>
      <c r="C424" t="str">
        <f t="shared" si="8"/>
        <v>WF</v>
      </c>
    </row>
    <row r="425" spans="1:3">
      <c r="A425">
        <v>15535</v>
      </c>
      <c r="B425" t="s">
        <v>504</v>
      </c>
      <c r="C425" t="str">
        <f t="shared" si="8"/>
        <v>WF</v>
      </c>
    </row>
    <row r="426" spans="1:3">
      <c r="A426">
        <v>15536</v>
      </c>
      <c r="B426" t="s">
        <v>505</v>
      </c>
      <c r="C426" t="str">
        <f t="shared" si="8"/>
        <v>WF</v>
      </c>
    </row>
    <row r="427" spans="1:3">
      <c r="A427">
        <v>15537</v>
      </c>
      <c r="B427" t="s">
        <v>506</v>
      </c>
      <c r="C427" t="str">
        <f t="shared" si="8"/>
        <v>WF</v>
      </c>
    </row>
    <row r="428" spans="1:3">
      <c r="A428">
        <v>15538</v>
      </c>
      <c r="B428" t="s">
        <v>507</v>
      </c>
      <c r="C428" t="str">
        <f t="shared" si="8"/>
        <v>WF</v>
      </c>
    </row>
    <row r="429" spans="1:3">
      <c r="A429">
        <v>15539</v>
      </c>
      <c r="B429" t="s">
        <v>508</v>
      </c>
      <c r="C429" t="str">
        <f t="shared" si="8"/>
        <v>WF</v>
      </c>
    </row>
    <row r="430" spans="1:3">
      <c r="A430">
        <v>15540</v>
      </c>
      <c r="B430" t="s">
        <v>509</v>
      </c>
      <c r="C430" t="str">
        <f t="shared" si="8"/>
        <v>WF</v>
      </c>
    </row>
    <row r="431" spans="1:3">
      <c r="A431">
        <v>15541</v>
      </c>
      <c r="B431" t="s">
        <v>510</v>
      </c>
      <c r="C431" t="str">
        <f t="shared" si="8"/>
        <v>WF</v>
      </c>
    </row>
    <row r="432" spans="1:3">
      <c r="A432">
        <v>15542</v>
      </c>
      <c r="B432" t="s">
        <v>511</v>
      </c>
      <c r="C432" t="str">
        <f t="shared" si="8"/>
        <v>WF</v>
      </c>
    </row>
    <row r="433" spans="1:3">
      <c r="A433">
        <v>15543</v>
      </c>
      <c r="B433" t="s">
        <v>512</v>
      </c>
      <c r="C433" t="str">
        <f t="shared" si="8"/>
        <v>WF</v>
      </c>
    </row>
    <row r="434" spans="1:3">
      <c r="A434">
        <v>15544</v>
      </c>
      <c r="B434" t="s">
        <v>513</v>
      </c>
      <c r="C434" t="str">
        <f t="shared" si="8"/>
        <v>WF</v>
      </c>
    </row>
    <row r="435" spans="1:3">
      <c r="A435">
        <v>15545</v>
      </c>
      <c r="B435" t="s">
        <v>514</v>
      </c>
      <c r="C435" t="str">
        <f t="shared" si="8"/>
        <v>WF</v>
      </c>
    </row>
    <row r="436" spans="1:3">
      <c r="A436">
        <v>15546</v>
      </c>
      <c r="B436" t="s">
        <v>515</v>
      </c>
      <c r="C436" t="str">
        <f t="shared" si="8"/>
        <v>WF</v>
      </c>
    </row>
    <row r="437" spans="1:3">
      <c r="A437">
        <v>15547</v>
      </c>
      <c r="B437" t="s">
        <v>516</v>
      </c>
      <c r="C437" t="str">
        <f t="shared" si="8"/>
        <v>WF</v>
      </c>
    </row>
    <row r="438" spans="1:3">
      <c r="A438">
        <v>15548</v>
      </c>
      <c r="B438" t="s">
        <v>517</v>
      </c>
      <c r="C438" t="str">
        <f t="shared" si="8"/>
        <v>WF</v>
      </c>
    </row>
    <row r="439" spans="1:3">
      <c r="A439">
        <v>15549</v>
      </c>
      <c r="B439" t="s">
        <v>518</v>
      </c>
      <c r="C439" t="str">
        <f t="shared" si="8"/>
        <v>WF</v>
      </c>
    </row>
    <row r="440" spans="1:3">
      <c r="A440">
        <v>15550</v>
      </c>
      <c r="B440" t="s">
        <v>519</v>
      </c>
      <c r="C440" t="str">
        <f t="shared" si="8"/>
        <v>WF</v>
      </c>
    </row>
    <row r="441" spans="1:3">
      <c r="A441">
        <v>15551</v>
      </c>
      <c r="B441" t="s">
        <v>520</v>
      </c>
      <c r="C441" t="str">
        <f t="shared" si="8"/>
        <v>WF</v>
      </c>
    </row>
    <row r="442" spans="1:3">
      <c r="A442">
        <v>15552</v>
      </c>
      <c r="B442" t="s">
        <v>521</v>
      </c>
      <c r="C442" t="str">
        <f t="shared" si="8"/>
        <v>WF</v>
      </c>
    </row>
    <row r="443" spans="1:3">
      <c r="A443">
        <v>15553</v>
      </c>
      <c r="B443" t="s">
        <v>522</v>
      </c>
      <c r="C443" t="str">
        <f t="shared" si="8"/>
        <v>WF</v>
      </c>
    </row>
    <row r="444" spans="1:3">
      <c r="A444">
        <v>15554</v>
      </c>
      <c r="B444" t="s">
        <v>523</v>
      </c>
      <c r="C444" t="str">
        <f t="shared" si="8"/>
        <v>WF</v>
      </c>
    </row>
    <row r="445" spans="1:3">
      <c r="A445">
        <v>15555</v>
      </c>
      <c r="B445" t="s">
        <v>524</v>
      </c>
      <c r="C445" t="str">
        <f t="shared" si="8"/>
        <v>WF</v>
      </c>
    </row>
    <row r="446" spans="1:3">
      <c r="A446">
        <v>15556</v>
      </c>
      <c r="B446" t="s">
        <v>525</v>
      </c>
      <c r="C446" t="str">
        <f t="shared" si="8"/>
        <v>WF</v>
      </c>
    </row>
    <row r="447" spans="1:3">
      <c r="A447">
        <v>15557</v>
      </c>
      <c r="B447" t="s">
        <v>526</v>
      </c>
      <c r="C447" t="str">
        <f t="shared" si="8"/>
        <v>WF</v>
      </c>
    </row>
    <row r="448" spans="1:3">
      <c r="A448">
        <v>15558</v>
      </c>
      <c r="B448" t="s">
        <v>527</v>
      </c>
      <c r="C448" t="str">
        <f t="shared" si="8"/>
        <v>WF</v>
      </c>
    </row>
    <row r="449" spans="1:3">
      <c r="A449">
        <v>15559</v>
      </c>
      <c r="B449" t="s">
        <v>528</v>
      </c>
      <c r="C449" t="str">
        <f t="shared" si="8"/>
        <v>WF</v>
      </c>
    </row>
    <row r="450" spans="1:3">
      <c r="A450">
        <v>15560</v>
      </c>
      <c r="B450" t="s">
        <v>529</v>
      </c>
      <c r="C450" t="str">
        <f t="shared" si="8"/>
        <v>WF</v>
      </c>
    </row>
    <row r="451" spans="1:3">
      <c r="A451">
        <v>15561</v>
      </c>
      <c r="B451" t="s">
        <v>530</v>
      </c>
      <c r="C451" t="str">
        <f t="shared" ref="C451:C514" si="9">IF(ISNA(VLOOKUP(A451,$F$2:$H$120,3,FALSE)),"WF",VLOOKUP(A451,$F$2:$H$120,3,FALSE))</f>
        <v>WF</v>
      </c>
    </row>
    <row r="452" spans="1:3">
      <c r="A452">
        <v>15562</v>
      </c>
      <c r="B452" t="s">
        <v>531</v>
      </c>
      <c r="C452" t="str">
        <f t="shared" si="9"/>
        <v>WF</v>
      </c>
    </row>
    <row r="453" spans="1:3">
      <c r="A453">
        <v>15563</v>
      </c>
      <c r="B453" t="s">
        <v>532</v>
      </c>
      <c r="C453" t="str">
        <f t="shared" si="9"/>
        <v>WF</v>
      </c>
    </row>
    <row r="454" spans="1:3">
      <c r="A454">
        <v>15564</v>
      </c>
      <c r="B454" t="s">
        <v>533</v>
      </c>
      <c r="C454" t="str">
        <f t="shared" si="9"/>
        <v>WF</v>
      </c>
    </row>
    <row r="455" spans="1:3">
      <c r="A455">
        <v>15565</v>
      </c>
      <c r="B455" t="s">
        <v>534</v>
      </c>
      <c r="C455" t="str">
        <f t="shared" si="9"/>
        <v>WF</v>
      </c>
    </row>
    <row r="456" spans="1:3">
      <c r="A456">
        <v>15566</v>
      </c>
      <c r="B456" t="s">
        <v>535</v>
      </c>
      <c r="C456" t="str">
        <f t="shared" si="9"/>
        <v>WF</v>
      </c>
    </row>
    <row r="457" spans="1:3">
      <c r="A457">
        <v>15567</v>
      </c>
      <c r="B457" t="s">
        <v>536</v>
      </c>
      <c r="C457" t="str">
        <f t="shared" si="9"/>
        <v>WF</v>
      </c>
    </row>
    <row r="458" spans="1:3">
      <c r="A458">
        <v>15568</v>
      </c>
      <c r="B458" t="s">
        <v>537</v>
      </c>
      <c r="C458" t="str">
        <f t="shared" si="9"/>
        <v>WF</v>
      </c>
    </row>
    <row r="459" spans="1:3">
      <c r="A459">
        <v>15569</v>
      </c>
      <c r="B459" t="s">
        <v>538</v>
      </c>
      <c r="C459" t="str">
        <f t="shared" si="9"/>
        <v>WF</v>
      </c>
    </row>
    <row r="460" spans="1:3">
      <c r="A460">
        <v>15570</v>
      </c>
      <c r="B460" t="s">
        <v>539</v>
      </c>
      <c r="C460" t="str">
        <f t="shared" si="9"/>
        <v>WF</v>
      </c>
    </row>
    <row r="461" spans="1:3">
      <c r="A461">
        <v>15571</v>
      </c>
      <c r="B461" t="s">
        <v>540</v>
      </c>
      <c r="C461" t="str">
        <f t="shared" si="9"/>
        <v>WF</v>
      </c>
    </row>
    <row r="462" spans="1:3">
      <c r="A462">
        <v>15572</v>
      </c>
      <c r="B462" t="s">
        <v>541</v>
      </c>
      <c r="C462" t="str">
        <f t="shared" si="9"/>
        <v>WF</v>
      </c>
    </row>
    <row r="463" spans="1:3">
      <c r="A463">
        <v>15573</v>
      </c>
      <c r="B463" t="s">
        <v>542</v>
      </c>
      <c r="C463" t="str">
        <f t="shared" si="9"/>
        <v>WF</v>
      </c>
    </row>
    <row r="464" spans="1:3">
      <c r="A464">
        <v>15574</v>
      </c>
      <c r="B464" t="s">
        <v>543</v>
      </c>
      <c r="C464" t="str">
        <f t="shared" si="9"/>
        <v>WF</v>
      </c>
    </row>
    <row r="465" spans="1:3">
      <c r="A465">
        <v>15575</v>
      </c>
      <c r="B465" t="s">
        <v>544</v>
      </c>
      <c r="C465" t="str">
        <f t="shared" si="9"/>
        <v>WF</v>
      </c>
    </row>
    <row r="466" spans="1:3">
      <c r="A466">
        <v>15576</v>
      </c>
      <c r="B466" t="s">
        <v>545</v>
      </c>
      <c r="C466" t="str">
        <f t="shared" si="9"/>
        <v>WF</v>
      </c>
    </row>
    <row r="467" spans="1:3">
      <c r="A467">
        <v>15577</v>
      </c>
      <c r="B467" t="s">
        <v>546</v>
      </c>
      <c r="C467" t="str">
        <f t="shared" si="9"/>
        <v>WF</v>
      </c>
    </row>
    <row r="468" spans="1:3">
      <c r="A468">
        <v>15578</v>
      </c>
      <c r="B468" t="s">
        <v>547</v>
      </c>
      <c r="C468" t="str">
        <f t="shared" si="9"/>
        <v>WF</v>
      </c>
    </row>
    <row r="469" spans="1:3">
      <c r="A469">
        <v>15579</v>
      </c>
      <c r="B469" t="s">
        <v>548</v>
      </c>
      <c r="C469" t="str">
        <f t="shared" si="9"/>
        <v>WF</v>
      </c>
    </row>
    <row r="470" spans="1:3">
      <c r="A470">
        <v>15580</v>
      </c>
      <c r="B470" t="s">
        <v>549</v>
      </c>
      <c r="C470" t="str">
        <f t="shared" si="9"/>
        <v>WF</v>
      </c>
    </row>
    <row r="471" spans="1:3">
      <c r="A471">
        <v>15581</v>
      </c>
      <c r="B471" t="s">
        <v>550</v>
      </c>
      <c r="C471" t="str">
        <f t="shared" si="9"/>
        <v>WF</v>
      </c>
    </row>
    <row r="472" spans="1:3">
      <c r="A472">
        <v>15582</v>
      </c>
      <c r="B472" t="s">
        <v>551</v>
      </c>
      <c r="C472" t="str">
        <f t="shared" si="9"/>
        <v>WF</v>
      </c>
    </row>
    <row r="473" spans="1:3">
      <c r="A473">
        <v>15583</v>
      </c>
      <c r="B473" t="s">
        <v>552</v>
      </c>
      <c r="C473" t="str">
        <f t="shared" si="9"/>
        <v>WF</v>
      </c>
    </row>
    <row r="474" spans="1:3">
      <c r="A474">
        <v>15584</v>
      </c>
      <c r="B474" t="s">
        <v>553</v>
      </c>
      <c r="C474" t="str">
        <f t="shared" si="9"/>
        <v>WF</v>
      </c>
    </row>
    <row r="475" spans="1:3">
      <c r="A475">
        <v>15585</v>
      </c>
      <c r="B475" t="s">
        <v>554</v>
      </c>
      <c r="C475" t="str">
        <f t="shared" si="9"/>
        <v>WF</v>
      </c>
    </row>
    <row r="476" spans="1:3">
      <c r="A476">
        <v>15586</v>
      </c>
      <c r="B476" t="s">
        <v>555</v>
      </c>
      <c r="C476" t="str">
        <f t="shared" si="9"/>
        <v>WF</v>
      </c>
    </row>
    <row r="477" spans="1:3">
      <c r="A477">
        <v>15587</v>
      </c>
      <c r="B477" t="s">
        <v>556</v>
      </c>
      <c r="C477" t="str">
        <f t="shared" si="9"/>
        <v>WF</v>
      </c>
    </row>
    <row r="478" spans="1:3">
      <c r="A478">
        <v>15588</v>
      </c>
      <c r="B478" t="s">
        <v>557</v>
      </c>
      <c r="C478" t="str">
        <f t="shared" si="9"/>
        <v>WF</v>
      </c>
    </row>
    <row r="479" spans="1:3">
      <c r="A479">
        <v>15589</v>
      </c>
      <c r="B479" t="s">
        <v>558</v>
      </c>
      <c r="C479" t="str">
        <f t="shared" si="9"/>
        <v>WF</v>
      </c>
    </row>
    <row r="480" spans="1:3">
      <c r="A480">
        <v>15590</v>
      </c>
      <c r="B480" t="s">
        <v>559</v>
      </c>
      <c r="C480" t="str">
        <f t="shared" si="9"/>
        <v>WF</v>
      </c>
    </row>
    <row r="481" spans="1:3">
      <c r="A481">
        <v>15591</v>
      </c>
      <c r="B481" t="s">
        <v>560</v>
      </c>
      <c r="C481" t="str">
        <f t="shared" si="9"/>
        <v>WF</v>
      </c>
    </row>
    <row r="482" spans="1:3">
      <c r="A482">
        <v>15592</v>
      </c>
      <c r="B482" t="s">
        <v>561</v>
      </c>
      <c r="C482" t="str">
        <f t="shared" si="9"/>
        <v>WF</v>
      </c>
    </row>
    <row r="483" spans="1:3">
      <c r="A483">
        <v>15593</v>
      </c>
      <c r="B483" t="s">
        <v>562</v>
      </c>
      <c r="C483" t="str">
        <f t="shared" si="9"/>
        <v>WF</v>
      </c>
    </row>
    <row r="484" spans="1:3">
      <c r="A484">
        <v>15594</v>
      </c>
      <c r="B484" t="s">
        <v>563</v>
      </c>
      <c r="C484" t="str">
        <f t="shared" si="9"/>
        <v>WF</v>
      </c>
    </row>
    <row r="485" spans="1:3">
      <c r="A485">
        <v>15595</v>
      </c>
      <c r="B485" t="s">
        <v>564</v>
      </c>
      <c r="C485" t="str">
        <f t="shared" si="9"/>
        <v>WF</v>
      </c>
    </row>
    <row r="486" spans="1:3">
      <c r="A486">
        <v>15596</v>
      </c>
      <c r="B486" t="s">
        <v>565</v>
      </c>
      <c r="C486" t="str">
        <f t="shared" si="9"/>
        <v>WF</v>
      </c>
    </row>
    <row r="487" spans="1:3">
      <c r="A487">
        <v>15597</v>
      </c>
      <c r="B487" t="s">
        <v>566</v>
      </c>
      <c r="C487" t="str">
        <f t="shared" si="9"/>
        <v>WF</v>
      </c>
    </row>
    <row r="488" spans="1:3">
      <c r="A488">
        <v>15598</v>
      </c>
      <c r="B488" t="s">
        <v>567</v>
      </c>
      <c r="C488" t="str">
        <f t="shared" si="9"/>
        <v>WF</v>
      </c>
    </row>
    <row r="489" spans="1:3">
      <c r="A489">
        <v>15599</v>
      </c>
      <c r="B489" t="s">
        <v>568</v>
      </c>
      <c r="C489" t="str">
        <f t="shared" si="9"/>
        <v>WF</v>
      </c>
    </row>
    <row r="490" spans="1:3">
      <c r="A490">
        <v>15600</v>
      </c>
      <c r="B490" t="s">
        <v>569</v>
      </c>
      <c r="C490" t="str">
        <f t="shared" si="9"/>
        <v>WF</v>
      </c>
    </row>
    <row r="491" spans="1:3">
      <c r="A491">
        <v>15601</v>
      </c>
      <c r="B491" t="s">
        <v>570</v>
      </c>
      <c r="C491" t="str">
        <f t="shared" si="9"/>
        <v>WF</v>
      </c>
    </row>
    <row r="492" spans="1:3">
      <c r="A492">
        <v>15602</v>
      </c>
      <c r="B492" t="s">
        <v>571</v>
      </c>
      <c r="C492" t="str">
        <f t="shared" si="9"/>
        <v>WF</v>
      </c>
    </row>
    <row r="493" spans="1:3">
      <c r="A493">
        <v>15603</v>
      </c>
      <c r="B493" t="s">
        <v>572</v>
      </c>
      <c r="C493" t="str">
        <f t="shared" si="9"/>
        <v>WF</v>
      </c>
    </row>
    <row r="494" spans="1:3">
      <c r="A494">
        <v>15604</v>
      </c>
      <c r="B494" t="s">
        <v>573</v>
      </c>
      <c r="C494" t="str">
        <f t="shared" si="9"/>
        <v>WF</v>
      </c>
    </row>
    <row r="495" spans="1:3">
      <c r="A495">
        <v>15605</v>
      </c>
      <c r="B495" t="s">
        <v>574</v>
      </c>
      <c r="C495" t="str">
        <f t="shared" si="9"/>
        <v>WF</v>
      </c>
    </row>
    <row r="496" spans="1:3">
      <c r="A496">
        <v>15606</v>
      </c>
      <c r="B496" t="s">
        <v>575</v>
      </c>
      <c r="C496" t="str">
        <f t="shared" si="9"/>
        <v>WF</v>
      </c>
    </row>
    <row r="497" spans="1:3">
      <c r="A497">
        <v>15607</v>
      </c>
      <c r="B497" t="s">
        <v>576</v>
      </c>
      <c r="C497" t="str">
        <f t="shared" si="9"/>
        <v>WF</v>
      </c>
    </row>
    <row r="498" spans="1:3">
      <c r="A498">
        <v>15608</v>
      </c>
      <c r="B498" t="s">
        <v>577</v>
      </c>
      <c r="C498" t="str">
        <f t="shared" si="9"/>
        <v>WF</v>
      </c>
    </row>
    <row r="499" spans="1:3">
      <c r="A499">
        <v>15609</v>
      </c>
      <c r="B499" t="s">
        <v>578</v>
      </c>
      <c r="C499" t="str">
        <f t="shared" si="9"/>
        <v>WF</v>
      </c>
    </row>
    <row r="500" spans="1:3">
      <c r="A500">
        <v>15610</v>
      </c>
      <c r="B500" t="s">
        <v>579</v>
      </c>
      <c r="C500" t="str">
        <f t="shared" si="9"/>
        <v>WF</v>
      </c>
    </row>
    <row r="501" spans="1:3">
      <c r="A501">
        <v>15611</v>
      </c>
      <c r="B501" t="s">
        <v>580</v>
      </c>
      <c r="C501" t="str">
        <f t="shared" si="9"/>
        <v>WF</v>
      </c>
    </row>
    <row r="502" spans="1:3">
      <c r="A502">
        <v>15612</v>
      </c>
      <c r="B502" t="s">
        <v>581</v>
      </c>
      <c r="C502" t="str">
        <f t="shared" si="9"/>
        <v>WF</v>
      </c>
    </row>
    <row r="503" spans="1:3">
      <c r="A503">
        <v>15613</v>
      </c>
      <c r="B503" t="s">
        <v>582</v>
      </c>
      <c r="C503" t="str">
        <f t="shared" si="9"/>
        <v>WF</v>
      </c>
    </row>
    <row r="504" spans="1:3">
      <c r="A504">
        <v>15614</v>
      </c>
      <c r="B504" t="s">
        <v>583</v>
      </c>
      <c r="C504" t="str">
        <f t="shared" si="9"/>
        <v>WF</v>
      </c>
    </row>
    <row r="505" spans="1:3">
      <c r="A505">
        <v>15615</v>
      </c>
      <c r="B505" t="s">
        <v>584</v>
      </c>
      <c r="C505" t="str">
        <f t="shared" si="9"/>
        <v>WF</v>
      </c>
    </row>
    <row r="506" spans="1:3">
      <c r="A506">
        <v>15616</v>
      </c>
      <c r="B506" t="s">
        <v>585</v>
      </c>
      <c r="C506" t="str">
        <f t="shared" si="9"/>
        <v>WF</v>
      </c>
    </row>
    <row r="507" spans="1:3">
      <c r="A507">
        <v>15617</v>
      </c>
      <c r="B507" t="s">
        <v>586</v>
      </c>
      <c r="C507" t="str">
        <f t="shared" si="9"/>
        <v>WF</v>
      </c>
    </row>
    <row r="508" spans="1:3">
      <c r="A508">
        <v>15618</v>
      </c>
      <c r="B508" t="s">
        <v>587</v>
      </c>
      <c r="C508" t="str">
        <f t="shared" si="9"/>
        <v>WF</v>
      </c>
    </row>
    <row r="509" spans="1:3">
      <c r="A509">
        <v>15619</v>
      </c>
      <c r="B509" t="s">
        <v>588</v>
      </c>
      <c r="C509" t="str">
        <f t="shared" si="9"/>
        <v>WF</v>
      </c>
    </row>
    <row r="510" spans="1:3">
      <c r="A510">
        <v>15620</v>
      </c>
      <c r="B510" t="s">
        <v>589</v>
      </c>
      <c r="C510" t="str">
        <f t="shared" si="9"/>
        <v>WF</v>
      </c>
    </row>
    <row r="511" spans="1:3">
      <c r="A511">
        <v>15621</v>
      </c>
      <c r="B511" t="s">
        <v>590</v>
      </c>
      <c r="C511" t="str">
        <f t="shared" si="9"/>
        <v>WF</v>
      </c>
    </row>
    <row r="512" spans="1:3">
      <c r="A512">
        <v>15622</v>
      </c>
      <c r="B512" t="s">
        <v>591</v>
      </c>
      <c r="C512" t="str">
        <f t="shared" si="9"/>
        <v>WF</v>
      </c>
    </row>
    <row r="513" spans="1:3">
      <c r="A513">
        <v>15623</v>
      </c>
      <c r="B513" t="s">
        <v>592</v>
      </c>
      <c r="C513" t="str">
        <f t="shared" si="9"/>
        <v>WF</v>
      </c>
    </row>
    <row r="514" spans="1:3">
      <c r="A514">
        <v>15624</v>
      </c>
      <c r="B514" t="s">
        <v>593</v>
      </c>
      <c r="C514" t="str">
        <f t="shared" si="9"/>
        <v>WF</v>
      </c>
    </row>
    <row r="515" spans="1:3">
      <c r="A515">
        <v>15625</v>
      </c>
      <c r="B515" t="s">
        <v>594</v>
      </c>
      <c r="C515" t="str">
        <f t="shared" ref="C515:C521" si="10">IF(ISNA(VLOOKUP(A515,$F$2:$H$120,3,FALSE)),"WF",VLOOKUP(A515,$F$2:$H$120,3,FALSE))</f>
        <v>WF</v>
      </c>
    </row>
    <row r="516" spans="1:3">
      <c r="A516">
        <v>15626</v>
      </c>
      <c r="B516" t="s">
        <v>595</v>
      </c>
      <c r="C516" t="str">
        <f t="shared" si="10"/>
        <v>WF</v>
      </c>
    </row>
    <row r="517" spans="1:3">
      <c r="A517">
        <v>15627</v>
      </c>
      <c r="B517" t="s">
        <v>596</v>
      </c>
      <c r="C517" t="str">
        <f t="shared" si="10"/>
        <v>WF</v>
      </c>
    </row>
    <row r="518" spans="1:3">
      <c r="A518">
        <v>15628</v>
      </c>
      <c r="B518" t="s">
        <v>597</v>
      </c>
      <c r="C518" t="str">
        <f t="shared" si="10"/>
        <v>WF</v>
      </c>
    </row>
    <row r="519" spans="1:3">
      <c r="A519">
        <v>15629</v>
      </c>
      <c r="B519" t="s">
        <v>598</v>
      </c>
      <c r="C519" t="str">
        <f t="shared" si="10"/>
        <v>WF</v>
      </c>
    </row>
    <row r="520" spans="1:3">
      <c r="A520">
        <v>13010</v>
      </c>
      <c r="B520" s="17" t="s">
        <v>600</v>
      </c>
      <c r="C520" t="str">
        <f t="shared" si="10"/>
        <v>WF</v>
      </c>
    </row>
    <row r="521" spans="1:3">
      <c r="A521">
        <v>13011</v>
      </c>
      <c r="B521" s="17" t="s">
        <v>601</v>
      </c>
      <c r="C521" t="str">
        <f t="shared" si="10"/>
        <v>WF</v>
      </c>
    </row>
    <row r="522" spans="1:3">
      <c r="A522">
        <v>14305</v>
      </c>
      <c r="B522" s="9" t="s">
        <v>673</v>
      </c>
    </row>
    <row r="523" spans="1:3">
      <c r="A523">
        <v>14306</v>
      </c>
      <c r="B523" s="9" t="s">
        <v>674</v>
      </c>
    </row>
    <row r="524" spans="1:3">
      <c r="A524">
        <v>14307</v>
      </c>
      <c r="B524" s="9" t="s">
        <v>675</v>
      </c>
    </row>
    <row r="525" spans="1:3">
      <c r="A525">
        <v>14308</v>
      </c>
      <c r="B525" s="9" t="s">
        <v>676</v>
      </c>
    </row>
    <row r="526" spans="1:3">
      <c r="A526">
        <v>14309</v>
      </c>
      <c r="B526" s="9" t="s">
        <v>677</v>
      </c>
    </row>
    <row r="527" spans="1:3">
      <c r="A527">
        <v>14310</v>
      </c>
      <c r="B527" s="9" t="s">
        <v>678</v>
      </c>
    </row>
    <row r="528" spans="1:3">
      <c r="A528">
        <v>14311</v>
      </c>
      <c r="B528" s="9" t="s">
        <v>679</v>
      </c>
    </row>
    <row r="529" spans="1:2">
      <c r="A529">
        <v>14312</v>
      </c>
      <c r="B529" s="9" t="s">
        <v>680</v>
      </c>
    </row>
    <row r="530" spans="1:2">
      <c r="A530">
        <v>14313</v>
      </c>
      <c r="B530" s="9" t="s">
        <v>681</v>
      </c>
    </row>
    <row r="531" spans="1:2">
      <c r="A531">
        <v>14314</v>
      </c>
      <c r="B531" s="9" t="s">
        <v>682</v>
      </c>
    </row>
  </sheetData>
  <autoFilter ref="A1:C531" xr:uid="{00000000-0009-0000-0000-000009000000}"/>
  <sortState xmlns:xlrd2="http://schemas.microsoft.com/office/spreadsheetml/2017/richdata2" ref="F2:H117">
    <sortCondition ref="F2:F117"/>
  </sortState>
  <customSheetViews>
    <customSheetView guid="{3E7D2425-DF29-48A5-8E4F-453269C0181F}" showAutoFilter="1" state="hidden">
      <selection activeCell="C102" sqref="C102"/>
      <pageMargins left="0.7" right="0.7" top="0.75" bottom="0.75" header="0.3" footer="0.3"/>
      <autoFilter ref="A1:C531" xr:uid="{1BC05BBD-FC67-4A0E-B9BD-799B0EA033D0}"/>
    </customSheetView>
    <customSheetView guid="{32DB0659-95CA-464A-A9E5-65C29D151BE4}" showAutoFilter="1" state="hidden">
      <selection activeCell="C102" sqref="C102"/>
      <pageMargins left="0.7" right="0.7" top="0.75" bottom="0.75" header="0.3" footer="0.3"/>
      <autoFilter ref="A1:C531" xr:uid="{5645ACEF-C303-416E-B07D-3B8E796766C2}"/>
    </customSheetView>
    <customSheetView guid="{06CC192D-486E-4A0B-A9B7-ADD9AC2DD655}" showPageBreaks="1" showAutoFilter="1" state="hidden">
      <selection activeCell="C102" sqref="C102"/>
      <pageMargins left="0.7" right="0.7" top="0.75" bottom="0.75" header="0.3" footer="0.3"/>
      <pageSetup orientation="portrait" horizontalDpi="1200" verticalDpi="1200" r:id="rId1"/>
      <autoFilter ref="A1:C531" xr:uid="{7FF22C88-EA95-40A4-95E5-712670AE1632}"/>
    </customSheetView>
    <customSheetView guid="{49BE8609-8A6F-45AF-B04A-D50C5E8ACCA5}" showAutoFilter="1" state="hidden">
      <selection activeCell="C102" sqref="C102"/>
      <pageMargins left="0.7" right="0.7" top="0.75" bottom="0.75" header="0.3" footer="0.3"/>
      <autoFilter ref="A1:C531" xr:uid="{7A85B12C-5D88-4A3E-80F0-AB4C00F02D6B}"/>
    </customSheetView>
    <customSheetView guid="{2E87D9A1-0A21-4C5A-A792-7570A50008B7}" showAutoFilter="1" state="hidden">
      <selection activeCell="C102" sqref="C102"/>
      <pageMargins left="0.7" right="0.7" top="0.75" bottom="0.75" header="0.3" footer="0.3"/>
      <autoFilter ref="A1:C531" xr:uid="{2F912476-D5CE-43D8-9DE8-60A61C56CF53}"/>
    </customSheetView>
    <customSheetView guid="{A38639FA-D138-4554-858F-951B7BE56A15}" showAutoFilter="1" state="hidden">
      <selection activeCell="C102" sqref="C102"/>
      <pageMargins left="0.7" right="0.7" top="0.75" bottom="0.75" header="0.3" footer="0.3"/>
      <autoFilter ref="A1:C531" xr:uid="{8B55C5A8-B869-4B69-9F7E-9F9BE8E27324}"/>
    </customSheetView>
    <customSheetView guid="{529DBED2-7F14-4DC1-BD8C-88C4DA357099}" showAutoFilter="1" state="hidden">
      <selection activeCell="C102" sqref="C102"/>
      <pageMargins left="0.7" right="0.7" top="0.75" bottom="0.75" header="0.3" footer="0.3"/>
      <autoFilter ref="A1:C531" xr:uid="{4509D5C1-B7F5-4757-B38C-A7245EEF6299}"/>
    </customSheetView>
    <customSheetView guid="{751C391B-F5E8-4956-8561-2BAF40BC80F0}" showAutoFilter="1" state="hidden">
      <selection activeCell="C102" sqref="C102"/>
      <pageMargins left="0.7" right="0.7" top="0.75" bottom="0.75" header="0.3" footer="0.3"/>
      <autoFilter ref="A1:C531" xr:uid="{B46C3B81-061A-4418-A56D-FBAAAC364A8C}"/>
    </customSheetView>
    <customSheetView guid="{80BED788-9A90-4118-A079-D87F7EB8380A}" showAutoFilter="1" state="hidden">
      <selection activeCell="C102" sqref="C102"/>
      <pageMargins left="0.7" right="0.7" top="0.75" bottom="0.75" header="0.3" footer="0.3"/>
      <autoFilter ref="A1:C531" xr:uid="{F9A42190-1F35-4F79-ACA0-D8430D25C2A6}"/>
    </customSheetView>
    <customSheetView guid="{F65C9778-5E6F-4FB6-8315-82D18A725BD9}" showAutoFilter="1" state="hidden">
      <selection activeCell="C102" sqref="C102"/>
      <pageMargins left="0.7" right="0.7" top="0.75" bottom="0.75" header="0.3" footer="0.3"/>
      <autoFilter ref="A1:C531" xr:uid="{E3EFEBD3-3F20-4A6E-A2E1-23A6D8CEB37A}"/>
    </customSheetView>
    <customSheetView guid="{4B9DF69E-6558-4329-9C41-5127D788913B}" showAutoFilter="1" state="hidden">
      <selection activeCell="C102" sqref="C102"/>
      <pageMargins left="0.7" right="0.7" top="0.75" bottom="0.75" header="0.3" footer="0.3"/>
      <autoFilter ref="A1:C531" xr:uid="{4FC711F8-24FA-445F-9B36-4DD4F8FBA65E}"/>
    </customSheetView>
    <customSheetView guid="{CD8809EB-819B-4D2F-9A5A-7AD4415A15C7}" showAutoFilter="1" state="hidden">
      <selection activeCell="C102" sqref="C102"/>
      <pageMargins left="0.7" right="0.7" top="0.75" bottom="0.75" header="0.3" footer="0.3"/>
      <autoFilter ref="A1:C531" xr:uid="{939E729E-AADB-4729-AF6B-96360393E5D4}"/>
    </customSheetView>
    <customSheetView guid="{A3B080AB-09FD-4CB9-A130-A37F1000447B}" showAutoFilter="1">
      <selection activeCell="B26" sqref="B26"/>
      <pageMargins left="0.7" right="0.7" top="0.75" bottom="0.75" header="0.3" footer="0.3"/>
      <autoFilter ref="A1:C531" xr:uid="{9885F26A-CBE2-4BB1-8548-6F3F579E785D}"/>
    </customSheetView>
    <customSheetView guid="{5992C8BA-ADCD-4795-88E6-EF383F4EA8D4}">
      <selection activeCell="E30" sqref="E30"/>
      <pageMargins left="0.7" right="0.7" top="0.75" bottom="0.75" header="0.3" footer="0.3"/>
    </customSheetView>
    <customSheetView guid="{5523E9AF-1EDF-4591-BE32-D74C38E8778A}" showAutoFilter="1" state="hidden">
      <selection activeCell="C102" sqref="C102"/>
      <pageMargins left="0.7" right="0.7" top="0.75" bottom="0.75" header="0.3" footer="0.3"/>
      <autoFilter ref="A1:C531" xr:uid="{854A63DB-C85C-47BE-8632-76B79E882E81}"/>
    </customSheetView>
    <customSheetView guid="{AEEAA14F-7C57-4E9D-9C54-2498B3917CA3}" showAutoFilter="1" state="hidden">
      <selection activeCell="C102" sqref="C102"/>
      <pageMargins left="0.7" right="0.7" top="0.75" bottom="0.75" header="0.3" footer="0.3"/>
      <autoFilter ref="A1:C531" xr:uid="{EC8173EF-6F46-4A05-BB48-3A247B9CE4B7}"/>
    </customSheetView>
    <customSheetView guid="{3D1397D4-6E14-422B-BF17-85500BB6C48E}" showAutoFilter="1" state="hidden">
      <selection activeCell="C102" sqref="C102"/>
      <pageMargins left="0.7" right="0.7" top="0.75" bottom="0.75" header="0.3" footer="0.3"/>
      <autoFilter ref="A1:C531" xr:uid="{6E58FF6F-BF40-46F4-89EA-90EA05A04E96}"/>
    </customSheetView>
    <customSheetView guid="{87D2D016-5049-4054-85DB-0FB21C149DBE}" showAutoFilter="1" state="hidden">
      <selection activeCell="C102" sqref="C102"/>
      <pageMargins left="0.7" right="0.7" top="0.75" bottom="0.75" header="0.3" footer="0.3"/>
      <autoFilter ref="A1:C531" xr:uid="{8D6CB73A-3F47-4BD3-8949-D3822BA58A49}"/>
    </customSheetView>
    <customSheetView guid="{DF44DCB1-0A30-4B1A-B2AB-311F6E2FC08A}" showAutoFilter="1" state="hidden">
      <selection activeCell="C102" sqref="C102"/>
      <pageMargins left="0.7" right="0.7" top="0.75" bottom="0.75" header="0.3" footer="0.3"/>
      <autoFilter ref="A1:C531" xr:uid="{8564AC33-26BD-4517-865C-76872378E422}"/>
    </customSheetView>
    <customSheetView guid="{DDFEC649-94B4-4AA7-8FA0-4F0C72DB351E}" showAutoFilter="1" state="hidden">
      <selection activeCell="C102" sqref="C102"/>
      <pageMargins left="0.7" right="0.7" top="0.75" bottom="0.75" header="0.3" footer="0.3"/>
      <autoFilter ref="A1:C531" xr:uid="{E9A8FE61-79A8-4D3A-97F0-E41A0026FE4A}"/>
    </customSheetView>
    <customSheetView guid="{B0FD7D71-8FB9-4DAB-9956-8301F0AAA345}" showAutoFilter="1" state="hidden">
      <selection activeCell="C102" sqref="C102"/>
      <pageMargins left="0.7" right="0.7" top="0.75" bottom="0.75" header="0.3" footer="0.3"/>
      <autoFilter ref="A1:C531" xr:uid="{888011F6-4475-4970-BDAA-048ADA77EAB6}"/>
    </customSheetView>
    <customSheetView guid="{2D5DCD2C-90EA-4D42-81FC-740192C56039}" showAutoFilter="1" state="hidden">
      <selection activeCell="C102" sqref="C102"/>
      <pageMargins left="0.7" right="0.7" top="0.75" bottom="0.75" header="0.3" footer="0.3"/>
      <autoFilter ref="A1:C531" xr:uid="{96389226-C0F0-4054-94F6-96660EE26423}"/>
    </customSheetView>
  </customSheetViews>
  <pageMargins left="0.7" right="0.7" top="0.75" bottom="0.75" header="0.3" footer="0.3"/>
  <customProperties>
    <customPr name="_pios_id" r:id="rId2"/>
    <customPr name="EpmWorksheetKeyString_GUID" r:id="rId3"/>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Feb 22</vt:lpstr>
      <vt:lpstr>Center Balance</vt:lpstr>
      <vt:lpstr>GL007-Account Balance Inquiry B</vt:lpstr>
      <vt:lpstr>2022</vt:lpstr>
      <vt:lpstr>2021</vt:lpstr>
      <vt:lpstr>Table</vt:lpstr>
      <vt:lpstr>BU</vt:lpstr>
      <vt:lpstr>'Feb 22'!Print_Area</vt:lpstr>
      <vt:lpstr>'Feb 22'!Print_Titles</vt:lpstr>
    </vt:vector>
  </TitlesOfParts>
  <Company>Westfield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Westfield</dc:creator>
  <cp:lastModifiedBy>ADAK Pritam (Ext)</cp:lastModifiedBy>
  <cp:lastPrinted>2020-11-18T02:27:35Z</cp:lastPrinted>
  <dcterms:created xsi:type="dcterms:W3CDTF">2011-01-26T18:13:22Z</dcterms:created>
  <dcterms:modified xsi:type="dcterms:W3CDTF">2022-04-03T15:51:38Z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