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5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6.xml" ContentType="application/vnd.openxmlformats-officedocument.drawing+xml"/>
  <Override PartName="/xl/charts/chart4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"/>
    </mc:Choice>
  </mc:AlternateContent>
  <xr:revisionPtr revIDLastSave="0" documentId="13_ncr:1_{719CC054-F3E3-43C7-B3E2-5AA319A558E5}" xr6:coauthVersionLast="47" xr6:coauthVersionMax="47" xr10:uidLastSave="{00000000-0000-0000-0000-000000000000}"/>
  <bookViews>
    <workbookView showHorizontalScroll="0" showVerticalScroll="0" xWindow="28695" yWindow="0" windowWidth="23655" windowHeight="15585" xr2:uid="{00000000-000D-0000-FFFF-FFFF00000000}"/>
  </bookViews>
  <sheets>
    <sheet name="25년 말~26년" sheetId="4" r:id="rId1"/>
    <sheet name="투경관리" sheetId="26" r:id="rId2"/>
    <sheet name="수주잔고" sheetId="6" r:id="rId3"/>
    <sheet name="주요수주잔고" sheetId="27" r:id="rId4"/>
    <sheet name="계절성분석" sheetId="15" r:id="rId5"/>
    <sheet name="OECD.Stat export" sheetId="11" r:id="rId6"/>
    <sheet name="OECD YOY" sheetId="12" r:id="rId7"/>
    <sheet name="알아두면좋은주소들" sheetId="8" r:id="rId8"/>
    <sheet name="신규시설투자" sheetId="9" state="hidden" r:id="rId9"/>
  </sheets>
  <definedNames>
    <definedName name="_xlnm._FilterDatabase" localSheetId="2" hidden="1">수주잔고!$A$44:$AB$44</definedName>
    <definedName name="_xlnm._FilterDatabase" localSheetId="8" hidden="1">신규시설투자!$A$5:$L$543</definedName>
    <definedName name="_xlnm._FilterDatabase" localSheetId="1" hidden="1">투경관리!$H$4:$K$4</definedName>
    <definedName name="K">#REF!</definedName>
    <definedName name="_xlnm.Print_Area" localSheetId="4">계절성분석!$A$1:$U$218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51" i="6" l="1"/>
  <c r="X151" i="6"/>
  <c r="Y151" i="6"/>
  <c r="Z151" i="6"/>
  <c r="Z146" i="6"/>
  <c r="Z126" i="6"/>
  <c r="Z105" i="6"/>
  <c r="AB105" i="6" s="1"/>
  <c r="Z79" i="6"/>
  <c r="Z75" i="6"/>
  <c r="AB75" i="6" s="1"/>
  <c r="AB170" i="6"/>
  <c r="AA170" i="6"/>
  <c r="AB169" i="6"/>
  <c r="AA169" i="6"/>
  <c r="AB168" i="6"/>
  <c r="AA168" i="6"/>
  <c r="AB167" i="6"/>
  <c r="AA167" i="6"/>
  <c r="AB166" i="6"/>
  <c r="AA166" i="6"/>
  <c r="AB165" i="6"/>
  <c r="AA165" i="6"/>
  <c r="AB164" i="6"/>
  <c r="AA164" i="6"/>
  <c r="AB163" i="6"/>
  <c r="AA163" i="6"/>
  <c r="AB162" i="6"/>
  <c r="AA162" i="6"/>
  <c r="AB161" i="6"/>
  <c r="AA161" i="6"/>
  <c r="AB160" i="6"/>
  <c r="AA160" i="6"/>
  <c r="AB159" i="6"/>
  <c r="AA159" i="6"/>
  <c r="AB158" i="6"/>
  <c r="AA158" i="6"/>
  <c r="AB157" i="6"/>
  <c r="AA157" i="6"/>
  <c r="AB156" i="6"/>
  <c r="AA156" i="6"/>
  <c r="AB155" i="6"/>
  <c r="AA155" i="6"/>
  <c r="AB154" i="6"/>
  <c r="AA154" i="6"/>
  <c r="AB153" i="6"/>
  <c r="AA153" i="6"/>
  <c r="AB152" i="6"/>
  <c r="AA152" i="6"/>
  <c r="AB151" i="6"/>
  <c r="AA151" i="6"/>
  <c r="AB150" i="6"/>
  <c r="AA150" i="6"/>
  <c r="AB149" i="6"/>
  <c r="AA149" i="6"/>
  <c r="AB148" i="6"/>
  <c r="AA148" i="6"/>
  <c r="AB147" i="6"/>
  <c r="AA147" i="6"/>
  <c r="AB146" i="6"/>
  <c r="AA146" i="6"/>
  <c r="AB145" i="6"/>
  <c r="AA145" i="6"/>
  <c r="AB144" i="6"/>
  <c r="AA144" i="6"/>
  <c r="AB143" i="6"/>
  <c r="AA143" i="6"/>
  <c r="AB142" i="6"/>
  <c r="AA142" i="6"/>
  <c r="AB141" i="6"/>
  <c r="AA141" i="6"/>
  <c r="AB140" i="6"/>
  <c r="AA140" i="6"/>
  <c r="AB139" i="6"/>
  <c r="AA139" i="6"/>
  <c r="AB138" i="6"/>
  <c r="AA138" i="6"/>
  <c r="AB137" i="6"/>
  <c r="AA137" i="6"/>
  <c r="AB136" i="6"/>
  <c r="AA136" i="6"/>
  <c r="AB135" i="6"/>
  <c r="AA135" i="6"/>
  <c r="AB134" i="6"/>
  <c r="AA134" i="6"/>
  <c r="AB133" i="6"/>
  <c r="AA133" i="6"/>
  <c r="AB132" i="6"/>
  <c r="AA132" i="6"/>
  <c r="AB131" i="6"/>
  <c r="AA131" i="6"/>
  <c r="AB130" i="6"/>
  <c r="AA130" i="6"/>
  <c r="AB129" i="6"/>
  <c r="AA129" i="6"/>
  <c r="AB128" i="6"/>
  <c r="AA128" i="6"/>
  <c r="AB127" i="6"/>
  <c r="AA127" i="6"/>
  <c r="AB126" i="6"/>
  <c r="AA126" i="6"/>
  <c r="AB125" i="6"/>
  <c r="AA125" i="6"/>
  <c r="AB124" i="6"/>
  <c r="AA124" i="6"/>
  <c r="AB123" i="6"/>
  <c r="AA123" i="6"/>
  <c r="AB122" i="6"/>
  <c r="AA122" i="6"/>
  <c r="AB121" i="6"/>
  <c r="AA121" i="6"/>
  <c r="AB120" i="6"/>
  <c r="AA120" i="6"/>
  <c r="AB119" i="6"/>
  <c r="AA119" i="6"/>
  <c r="AB118" i="6"/>
  <c r="AA118" i="6"/>
  <c r="AB117" i="6"/>
  <c r="AA117" i="6"/>
  <c r="AB116" i="6"/>
  <c r="AA116" i="6"/>
  <c r="AB115" i="6"/>
  <c r="AA115" i="6"/>
  <c r="AB114" i="6"/>
  <c r="AA114" i="6"/>
  <c r="AB113" i="6"/>
  <c r="AA113" i="6"/>
  <c r="AB112" i="6"/>
  <c r="AA112" i="6"/>
  <c r="AB111" i="6"/>
  <c r="AA111" i="6"/>
  <c r="AB110" i="6"/>
  <c r="AA110" i="6"/>
  <c r="AB109" i="6"/>
  <c r="AA109" i="6"/>
  <c r="AB108" i="6"/>
  <c r="AA108" i="6"/>
  <c r="AB107" i="6"/>
  <c r="AA107" i="6"/>
  <c r="AB106" i="6"/>
  <c r="AA106" i="6"/>
  <c r="AB104" i="6"/>
  <c r="AA104" i="6"/>
  <c r="AB103" i="6"/>
  <c r="AA103" i="6"/>
  <c r="AB102" i="6"/>
  <c r="AA102" i="6"/>
  <c r="AB101" i="6"/>
  <c r="AA101" i="6"/>
  <c r="AB100" i="6"/>
  <c r="AA100" i="6"/>
  <c r="AB99" i="6"/>
  <c r="AA99" i="6"/>
  <c r="AB98" i="6"/>
  <c r="AA98" i="6"/>
  <c r="AB97" i="6"/>
  <c r="AA97" i="6"/>
  <c r="AB96" i="6"/>
  <c r="AA96" i="6"/>
  <c r="AB95" i="6"/>
  <c r="AA95" i="6"/>
  <c r="AB94" i="6"/>
  <c r="AA94" i="6"/>
  <c r="AB93" i="6"/>
  <c r="AA93" i="6"/>
  <c r="AB92" i="6"/>
  <c r="AA92" i="6"/>
  <c r="AB91" i="6"/>
  <c r="AA91" i="6"/>
  <c r="AB90" i="6"/>
  <c r="AA90" i="6"/>
  <c r="AB89" i="6"/>
  <c r="AA89" i="6"/>
  <c r="AB88" i="6"/>
  <c r="AA88" i="6"/>
  <c r="AB87" i="6"/>
  <c r="AA87" i="6"/>
  <c r="AB86" i="6"/>
  <c r="AA86" i="6"/>
  <c r="AB85" i="6"/>
  <c r="AA85" i="6"/>
  <c r="AB84" i="6"/>
  <c r="AA84" i="6"/>
  <c r="AB83" i="6"/>
  <c r="AA83" i="6"/>
  <c r="AB82" i="6"/>
  <c r="AA82" i="6"/>
  <c r="AB81" i="6"/>
  <c r="AA81" i="6"/>
  <c r="AB80" i="6"/>
  <c r="AA80" i="6"/>
  <c r="AB79" i="6"/>
  <c r="AA79" i="6"/>
  <c r="AB78" i="6"/>
  <c r="AA78" i="6"/>
  <c r="AB77" i="6"/>
  <c r="AA77" i="6"/>
  <c r="AB76" i="6"/>
  <c r="AA76" i="6"/>
  <c r="AA75" i="6"/>
  <c r="AB74" i="6"/>
  <c r="AA74" i="6"/>
  <c r="AB73" i="6"/>
  <c r="AA73" i="6"/>
  <c r="AB72" i="6"/>
  <c r="AA72" i="6"/>
  <c r="AB71" i="6"/>
  <c r="AA71" i="6"/>
  <c r="AB70" i="6"/>
  <c r="AA70" i="6"/>
  <c r="AB69" i="6"/>
  <c r="AA69" i="6"/>
  <c r="AB68" i="6"/>
  <c r="AA68" i="6"/>
  <c r="AB67" i="6"/>
  <c r="AA67" i="6"/>
  <c r="AB66" i="6"/>
  <c r="AA66" i="6"/>
  <c r="AB65" i="6"/>
  <c r="AA65" i="6"/>
  <c r="AB64" i="6"/>
  <c r="AA64" i="6"/>
  <c r="AB63" i="6"/>
  <c r="AA63" i="6"/>
  <c r="AB62" i="6"/>
  <c r="AA62" i="6"/>
  <c r="AB61" i="6"/>
  <c r="AA61" i="6"/>
  <c r="AB60" i="6"/>
  <c r="AA60" i="6"/>
  <c r="AB59" i="6"/>
  <c r="AA59" i="6"/>
  <c r="AB58" i="6"/>
  <c r="AA58" i="6"/>
  <c r="AB57" i="6"/>
  <c r="AA57" i="6"/>
  <c r="AB56" i="6"/>
  <c r="AA56" i="6"/>
  <c r="AB55" i="6"/>
  <c r="AA55" i="6"/>
  <c r="AB54" i="6"/>
  <c r="AA54" i="6"/>
  <c r="AB53" i="6"/>
  <c r="AA53" i="6"/>
  <c r="AB52" i="6"/>
  <c r="AA52" i="6"/>
  <c r="AB51" i="6"/>
  <c r="AA51" i="6"/>
  <c r="AB50" i="6"/>
  <c r="AA50" i="6"/>
  <c r="AB49" i="6"/>
  <c r="AA49" i="6"/>
  <c r="AB48" i="6"/>
  <c r="AA48" i="6"/>
  <c r="AB47" i="6"/>
  <c r="AA47" i="6"/>
  <c r="AB46" i="6"/>
  <c r="AA46" i="6"/>
  <c r="AB45" i="6"/>
  <c r="AA45" i="6"/>
  <c r="Z5" i="6"/>
  <c r="Z3" i="6"/>
  <c r="Y73" i="6"/>
  <c r="Y126" i="6"/>
  <c r="AA105" i="6" l="1"/>
  <c r="Y105" i="6"/>
  <c r="Y93" i="6"/>
  <c r="Y79" i="6"/>
  <c r="Y75" i="6"/>
  <c r="Y146" i="6" l="1"/>
  <c r="X126" i="6"/>
  <c r="X105" i="6"/>
  <c r="X75" i="6"/>
  <c r="X73" i="6"/>
  <c r="X79" i="6"/>
  <c r="W91" i="6" l="1"/>
  <c r="W79" i="6"/>
  <c r="W80" i="6"/>
  <c r="N78" i="6"/>
  <c r="O78" i="6"/>
  <c r="P78" i="6"/>
  <c r="Q78" i="6"/>
  <c r="R78" i="6"/>
  <c r="S78" i="6"/>
  <c r="T78" i="6"/>
  <c r="V78" i="6"/>
  <c r="U78" i="6"/>
  <c r="W78" i="6"/>
  <c r="W126" i="6" l="1"/>
  <c r="W105" i="6"/>
  <c r="V105" i="6"/>
  <c r="W75" i="6"/>
  <c r="W73" i="6"/>
  <c r="V126" i="6" l="1"/>
  <c r="V79" i="6"/>
  <c r="V75" i="6"/>
  <c r="V73" i="6"/>
  <c r="V82" i="6" l="1"/>
  <c r="G104" i="12" l="1"/>
  <c r="F104" i="12"/>
  <c r="G103" i="12"/>
  <c r="F103" i="12"/>
  <c r="G102" i="12"/>
  <c r="F102" i="12"/>
  <c r="G101" i="12"/>
  <c r="F101" i="12"/>
  <c r="G100" i="12"/>
  <c r="F100" i="12"/>
  <c r="G99" i="12"/>
  <c r="F99" i="12"/>
  <c r="G98" i="12"/>
  <c r="F98" i="12"/>
  <c r="G97" i="12"/>
  <c r="F97" i="12"/>
  <c r="G96" i="12"/>
  <c r="F96" i="12"/>
  <c r="G95" i="12"/>
  <c r="F95" i="12"/>
  <c r="G94" i="12"/>
  <c r="F94" i="12"/>
  <c r="G93" i="12"/>
  <c r="F93" i="12"/>
  <c r="G92" i="12"/>
  <c r="F92" i="12"/>
  <c r="G91" i="12"/>
  <c r="F91" i="12"/>
  <c r="G90" i="12"/>
  <c r="F90" i="12"/>
  <c r="G89" i="12"/>
  <c r="F89" i="12"/>
  <c r="G88" i="12"/>
  <c r="F88" i="12"/>
  <c r="G87" i="12"/>
  <c r="F87" i="12"/>
  <c r="G86" i="12"/>
  <c r="F86" i="12"/>
  <c r="G85" i="12"/>
  <c r="F85" i="12"/>
  <c r="G84" i="12"/>
  <c r="F84" i="12"/>
  <c r="G83" i="12"/>
  <c r="F83" i="12"/>
  <c r="G82" i="12"/>
  <c r="F82" i="12"/>
  <c r="G81" i="12"/>
  <c r="F81" i="12"/>
  <c r="G80" i="12"/>
  <c r="F80" i="12"/>
  <c r="G79" i="12"/>
  <c r="F79" i="12"/>
  <c r="G78" i="12"/>
  <c r="F78" i="12"/>
  <c r="G77" i="12"/>
  <c r="F77" i="12"/>
  <c r="G76" i="12"/>
  <c r="F76" i="12"/>
  <c r="G75" i="12"/>
  <c r="F75" i="12"/>
  <c r="G74" i="12"/>
  <c r="F74" i="12"/>
  <c r="G73" i="12"/>
  <c r="F73" i="12"/>
  <c r="G72" i="12"/>
  <c r="F72" i="12"/>
  <c r="G71" i="12"/>
  <c r="F71" i="12"/>
  <c r="G70" i="12"/>
  <c r="F70" i="12"/>
  <c r="G69" i="12"/>
  <c r="F69" i="12"/>
  <c r="G68" i="12"/>
  <c r="F68" i="12"/>
  <c r="G67" i="12"/>
  <c r="F67" i="12"/>
  <c r="G66" i="12"/>
  <c r="F66" i="12"/>
  <c r="G65" i="12"/>
  <c r="F65" i="12"/>
  <c r="G64" i="12"/>
  <c r="F64" i="12"/>
  <c r="G63" i="12"/>
  <c r="F63" i="12"/>
  <c r="G62" i="12"/>
  <c r="F62" i="12"/>
  <c r="G61" i="12"/>
  <c r="F61" i="12"/>
  <c r="G60" i="12"/>
  <c r="F60" i="12"/>
  <c r="G59" i="12"/>
  <c r="F59" i="12"/>
  <c r="G58" i="12"/>
  <c r="F58" i="12"/>
  <c r="G57" i="12"/>
  <c r="F57" i="12"/>
  <c r="G56" i="12"/>
  <c r="F56" i="12"/>
  <c r="G55" i="12"/>
  <c r="F55" i="12"/>
  <c r="G54" i="12"/>
  <c r="F54" i="12"/>
  <c r="G53" i="12"/>
  <c r="F53" i="12"/>
  <c r="G52" i="12"/>
  <c r="F52" i="12"/>
  <c r="G51" i="12"/>
  <c r="F51" i="12"/>
  <c r="G50" i="12"/>
  <c r="F50" i="12"/>
  <c r="G49" i="12"/>
  <c r="F49" i="12"/>
  <c r="G48" i="12"/>
  <c r="F48" i="12"/>
  <c r="G47" i="12"/>
  <c r="F47" i="12"/>
  <c r="G46" i="12"/>
  <c r="F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D18" i="12"/>
  <c r="A51" i="12"/>
  <c r="B51" i="12"/>
  <c r="C51" i="12"/>
  <c r="D51" i="12"/>
  <c r="E51" i="12"/>
  <c r="A52" i="12"/>
  <c r="B52" i="12"/>
  <c r="C52" i="12"/>
  <c r="D52" i="12"/>
  <c r="E52" i="12"/>
  <c r="A53" i="12"/>
  <c r="B53" i="12"/>
  <c r="C53" i="12"/>
  <c r="D53" i="12"/>
  <c r="E53" i="12"/>
  <c r="A54" i="12"/>
  <c r="B54" i="12"/>
  <c r="C54" i="12"/>
  <c r="D54" i="12"/>
  <c r="E54" i="12"/>
  <c r="A55" i="12"/>
  <c r="B55" i="12"/>
  <c r="C55" i="12"/>
  <c r="D55" i="12"/>
  <c r="E55" i="12"/>
  <c r="A56" i="12"/>
  <c r="B56" i="12"/>
  <c r="C56" i="12"/>
  <c r="D56" i="12"/>
  <c r="E56" i="12"/>
  <c r="A57" i="12"/>
  <c r="B57" i="12"/>
  <c r="C57" i="12"/>
  <c r="D57" i="12"/>
  <c r="E57" i="12"/>
  <c r="A58" i="12"/>
  <c r="B58" i="12"/>
  <c r="C58" i="12"/>
  <c r="D58" i="12"/>
  <c r="E58" i="12"/>
  <c r="A59" i="12"/>
  <c r="B59" i="12"/>
  <c r="C59" i="12"/>
  <c r="D59" i="12"/>
  <c r="E59" i="12"/>
  <c r="A60" i="12"/>
  <c r="B60" i="12"/>
  <c r="C60" i="12"/>
  <c r="D60" i="12"/>
  <c r="E60" i="12"/>
  <c r="A61" i="12"/>
  <c r="B61" i="12"/>
  <c r="C61" i="12"/>
  <c r="D61" i="12"/>
  <c r="E61" i="12"/>
  <c r="A62" i="12"/>
  <c r="B62" i="12"/>
  <c r="C62" i="12"/>
  <c r="D62" i="12"/>
  <c r="E62" i="12"/>
  <c r="A63" i="12"/>
  <c r="B63" i="12"/>
  <c r="C63" i="12"/>
  <c r="D63" i="12"/>
  <c r="E63" i="12"/>
  <c r="A64" i="12"/>
  <c r="B64" i="12"/>
  <c r="C64" i="12"/>
  <c r="D64" i="12"/>
  <c r="E64" i="12"/>
  <c r="A65" i="12"/>
  <c r="B65" i="12"/>
  <c r="C65" i="12"/>
  <c r="D65" i="12"/>
  <c r="E65" i="12"/>
  <c r="A66" i="12"/>
  <c r="B66" i="12"/>
  <c r="C66" i="12"/>
  <c r="D66" i="12"/>
  <c r="E66" i="12"/>
  <c r="A67" i="12"/>
  <c r="B67" i="12"/>
  <c r="C67" i="12"/>
  <c r="D67" i="12"/>
  <c r="E67" i="12"/>
  <c r="A68" i="12"/>
  <c r="B68" i="12"/>
  <c r="C68" i="12"/>
  <c r="D68" i="12"/>
  <c r="E68" i="12"/>
  <c r="A69" i="12"/>
  <c r="B69" i="12"/>
  <c r="C69" i="12"/>
  <c r="D69" i="12"/>
  <c r="E69" i="12"/>
  <c r="A70" i="12"/>
  <c r="B70" i="12"/>
  <c r="C70" i="12"/>
  <c r="D70" i="12"/>
  <c r="E70" i="12"/>
  <c r="A71" i="12"/>
  <c r="B71" i="12"/>
  <c r="C71" i="12"/>
  <c r="D71" i="12"/>
  <c r="E71" i="12"/>
  <c r="A72" i="12"/>
  <c r="B72" i="12"/>
  <c r="C72" i="12"/>
  <c r="D72" i="12"/>
  <c r="E72" i="12"/>
  <c r="A73" i="12"/>
  <c r="B73" i="12"/>
  <c r="C73" i="12"/>
  <c r="D73" i="12"/>
  <c r="E73" i="12"/>
  <c r="A74" i="12"/>
  <c r="B74" i="12"/>
  <c r="C74" i="12"/>
  <c r="D74" i="12"/>
  <c r="E74" i="12"/>
  <c r="A75" i="12"/>
  <c r="B75" i="12"/>
  <c r="C75" i="12"/>
  <c r="D75" i="12"/>
  <c r="E75" i="12"/>
  <c r="A76" i="12"/>
  <c r="B76" i="12"/>
  <c r="C76" i="12"/>
  <c r="D76" i="12"/>
  <c r="E76" i="12"/>
  <c r="A77" i="12"/>
  <c r="B77" i="12"/>
  <c r="C77" i="12"/>
  <c r="D77" i="12"/>
  <c r="E77" i="12"/>
  <c r="A78" i="12"/>
  <c r="B78" i="12"/>
  <c r="C78" i="12"/>
  <c r="D78" i="12"/>
  <c r="E78" i="12"/>
  <c r="A79" i="12"/>
  <c r="B79" i="12"/>
  <c r="C79" i="12"/>
  <c r="D79" i="12"/>
  <c r="E79" i="12"/>
  <c r="A80" i="12"/>
  <c r="B80" i="12"/>
  <c r="C80" i="12"/>
  <c r="D80" i="12"/>
  <c r="E80" i="12"/>
  <c r="A81" i="12"/>
  <c r="B81" i="12"/>
  <c r="C81" i="12"/>
  <c r="D81" i="12"/>
  <c r="E81" i="12"/>
  <c r="A82" i="12"/>
  <c r="B82" i="12"/>
  <c r="C82" i="12"/>
  <c r="D82" i="12"/>
  <c r="E82" i="12"/>
  <c r="A83" i="12"/>
  <c r="B83" i="12"/>
  <c r="C83" i="12"/>
  <c r="D83" i="12"/>
  <c r="E83" i="12"/>
  <c r="A84" i="12"/>
  <c r="B84" i="12"/>
  <c r="C84" i="12"/>
  <c r="D84" i="12"/>
  <c r="E84" i="12"/>
  <c r="A85" i="12"/>
  <c r="B85" i="12"/>
  <c r="C85" i="12"/>
  <c r="D85" i="12"/>
  <c r="E85" i="12"/>
  <c r="A86" i="12"/>
  <c r="B86" i="12"/>
  <c r="C86" i="12"/>
  <c r="D86" i="12"/>
  <c r="E86" i="12"/>
  <c r="A87" i="12"/>
  <c r="B87" i="12"/>
  <c r="C87" i="12"/>
  <c r="D87" i="12"/>
  <c r="E87" i="12"/>
  <c r="A88" i="12"/>
  <c r="B88" i="12"/>
  <c r="C88" i="12"/>
  <c r="D88" i="12"/>
  <c r="E88" i="12"/>
  <c r="A89" i="12"/>
  <c r="B89" i="12"/>
  <c r="C89" i="12"/>
  <c r="D89" i="12"/>
  <c r="E89" i="12"/>
  <c r="A90" i="12"/>
  <c r="B90" i="12"/>
  <c r="C90" i="12"/>
  <c r="D90" i="12"/>
  <c r="E90" i="12"/>
  <c r="A91" i="12"/>
  <c r="B91" i="12"/>
  <c r="C91" i="12"/>
  <c r="D91" i="12"/>
  <c r="E91" i="12"/>
  <c r="A92" i="12"/>
  <c r="B92" i="12"/>
  <c r="C92" i="12"/>
  <c r="D92" i="12"/>
  <c r="E92" i="12"/>
  <c r="A93" i="12"/>
  <c r="B93" i="12"/>
  <c r="C93" i="12"/>
  <c r="D93" i="12"/>
  <c r="E93" i="12"/>
  <c r="A94" i="12"/>
  <c r="B94" i="12"/>
  <c r="C94" i="12"/>
  <c r="D94" i="12"/>
  <c r="E94" i="12"/>
  <c r="A95" i="12"/>
  <c r="B95" i="12"/>
  <c r="C95" i="12"/>
  <c r="D95" i="12"/>
  <c r="E95" i="12"/>
  <c r="A96" i="12"/>
  <c r="B96" i="12"/>
  <c r="C96" i="12"/>
  <c r="D96" i="12"/>
  <c r="E96" i="12"/>
  <c r="A97" i="12"/>
  <c r="B97" i="12"/>
  <c r="C97" i="12"/>
  <c r="D97" i="12"/>
  <c r="E97" i="12"/>
  <c r="A98" i="12"/>
  <c r="B98" i="12"/>
  <c r="C98" i="12"/>
  <c r="D98" i="12"/>
  <c r="E98" i="12"/>
  <c r="A99" i="12"/>
  <c r="B99" i="12"/>
  <c r="C99" i="12"/>
  <c r="D99" i="12"/>
  <c r="E99" i="12"/>
  <c r="A100" i="12"/>
  <c r="B100" i="12"/>
  <c r="C100" i="12"/>
  <c r="D100" i="12"/>
  <c r="E100" i="12"/>
  <c r="A101" i="12"/>
  <c r="B101" i="12"/>
  <c r="C101" i="12"/>
  <c r="D101" i="12"/>
  <c r="E101" i="12"/>
  <c r="A102" i="12"/>
  <c r="B102" i="12"/>
  <c r="C102" i="12"/>
  <c r="D102" i="12"/>
  <c r="E102" i="12"/>
  <c r="A103" i="12"/>
  <c r="B103" i="12"/>
  <c r="C103" i="12"/>
  <c r="D103" i="12"/>
  <c r="E103" i="12"/>
  <c r="A104" i="12"/>
  <c r="B104" i="12"/>
  <c r="C104" i="12"/>
  <c r="D104" i="12"/>
  <c r="E104" i="12"/>
  <c r="U105" i="6" l="1"/>
  <c r="U126" i="6"/>
  <c r="U79" i="6"/>
  <c r="U73" i="6"/>
  <c r="U75" i="6"/>
  <c r="P73" i="6" l="1"/>
  <c r="U82" i="6"/>
  <c r="F3" i="6" l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V5" i="6" l="1"/>
  <c r="W3" i="6"/>
  <c r="U5" i="6"/>
  <c r="W5" i="6" l="1"/>
  <c r="X3" i="6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X5" i="6" l="1"/>
  <c r="Y3" i="6"/>
  <c r="Y5" i="6" s="1"/>
  <c r="T126" i="6"/>
  <c r="N122" i="6"/>
  <c r="O122" i="6"/>
  <c r="P122" i="6"/>
  <c r="Q122" i="6"/>
  <c r="R122" i="6"/>
  <c r="S122" i="6"/>
  <c r="T122" i="6"/>
  <c r="T111" i="6"/>
  <c r="T105" i="6"/>
  <c r="T79" i="6"/>
  <c r="T75" i="6" l="1"/>
  <c r="T73" i="6"/>
  <c r="S126" i="6"/>
  <c r="S123" i="6"/>
  <c r="S120" i="6"/>
  <c r="S105" i="6"/>
  <c r="S80" i="6"/>
  <c r="S79" i="6"/>
  <c r="S75" i="6"/>
  <c r="S73" i="6"/>
  <c r="S5" i="6" l="1"/>
  <c r="E50" i="12" l="1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C18" i="12"/>
  <c r="B18" i="12"/>
  <c r="C17" i="12"/>
  <c r="B17" i="12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C28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C27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C26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C25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C24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C23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C22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C21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C20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C19" i="11"/>
  <c r="A15" i="11"/>
  <c r="A14" i="11"/>
  <c r="A13" i="11"/>
  <c r="A12" i="11"/>
  <c r="A11" i="11"/>
  <c r="A10" i="11"/>
  <c r="A9" i="11"/>
  <c r="A8" i="11"/>
  <c r="A7" i="11"/>
  <c r="C1" i="11"/>
  <c r="B28" i="11" l="1"/>
  <c r="B27" i="11"/>
  <c r="B20" i="11"/>
  <c r="B22" i="11"/>
  <c r="B24" i="11"/>
  <c r="B23" i="11"/>
  <c r="B21" i="11"/>
  <c r="B25" i="11"/>
  <c r="B26" i="11"/>
  <c r="I166" i="6"/>
  <c r="H166" i="6"/>
  <c r="G166" i="6"/>
  <c r="F166" i="6"/>
  <c r="E166" i="6"/>
  <c r="I165" i="6"/>
  <c r="H165" i="6"/>
  <c r="G165" i="6"/>
  <c r="F165" i="6"/>
  <c r="E165" i="6"/>
  <c r="O160" i="6"/>
  <c r="N160" i="6"/>
  <c r="M160" i="6"/>
  <c r="L160" i="6"/>
  <c r="J160" i="6"/>
  <c r="R126" i="6"/>
  <c r="Q126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J101" i="6"/>
  <c r="I101" i="6"/>
  <c r="H101" i="6"/>
  <c r="G101" i="6"/>
  <c r="F101" i="6"/>
  <c r="E101" i="6"/>
  <c r="G99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Q73" i="6"/>
  <c r="O73" i="6"/>
  <c r="M73" i="6"/>
  <c r="L73" i="6"/>
  <c r="K73" i="6"/>
  <c r="J73" i="6"/>
  <c r="I73" i="6"/>
  <c r="H73" i="6"/>
  <c r="G73" i="6"/>
  <c r="F73" i="6"/>
  <c r="I53" i="6"/>
  <c r="R52" i="6"/>
  <c r="Q52" i="6"/>
  <c r="P52" i="6"/>
  <c r="F5" i="6"/>
  <c r="E5" i="6"/>
  <c r="D5" i="6"/>
  <c r="C5" i="6"/>
  <c r="B5" i="6"/>
  <c r="I5" i="6" l="1"/>
  <c r="H5" i="6"/>
  <c r="L5" i="6"/>
  <c r="P5" i="6"/>
  <c r="G5" i="6"/>
  <c r="K5" i="6"/>
  <c r="O5" i="6"/>
  <c r="M5" i="6"/>
  <c r="J5" i="6"/>
  <c r="N5" i="6"/>
  <c r="R5" i="6" l="1"/>
  <c r="T5" i="6"/>
  <c r="Q5" i="6" l="1"/>
  <c r="A383" i="9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김병조</author>
  </authors>
  <commentList>
    <comment ref="A73" authorId="0" shapeId="0" xr:uid="{00000000-0006-0000-0100-000001000000}">
      <text>
        <r>
          <rPr>
            <b/>
            <sz val="9"/>
            <color rgb="FF000000"/>
            <rFont val="돋움"/>
            <family val="3"/>
            <charset val="129"/>
          </rPr>
          <t xml:space="preserve">수주총액기준
</t>
        </r>
      </text>
    </comment>
    <comment ref="A105" authorId="0" shapeId="0" xr:uid="{00000000-0006-0000-0100-000002000000}">
      <text>
        <r>
          <rPr>
            <b/>
            <sz val="9"/>
            <color rgb="FF000000"/>
            <rFont val="돋움"/>
            <family val="3"/>
            <charset val="129"/>
          </rPr>
          <t xml:space="preserve">수주총액기준
</t>
        </r>
      </text>
    </comment>
    <comment ref="A110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누적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수주상황임
</t>
        </r>
      </text>
    </comment>
  </commentList>
</comments>
</file>

<file path=xl/sharedStrings.xml><?xml version="1.0" encoding="utf-8"?>
<sst xmlns="http://schemas.openxmlformats.org/spreadsheetml/2006/main" count="4921" uniqueCount="3392">
  <si>
    <t>시기</t>
  </si>
  <si>
    <t>관련종목 및 업종</t>
  </si>
  <si>
    <t>내용</t>
  </si>
  <si>
    <t>뷰노</t>
  </si>
  <si>
    <t>2026년</t>
    <phoneticPr fontId="5" type="noConversion"/>
  </si>
  <si>
    <t>2026년~2027년</t>
  </si>
  <si>
    <t>애플</t>
    <phoneticPr fontId="5" type="noConversion"/>
  </si>
  <si>
    <t>애플폴더블 출시</t>
    <phoneticPr fontId="5" type="noConversion"/>
  </si>
  <si>
    <t>2027년</t>
  </si>
  <si>
    <t>포스코퓨처엠</t>
  </si>
  <si>
    <t>OLED 소재</t>
  </si>
  <si>
    <t>맥북 OLED 적용</t>
  </si>
  <si>
    <t>클래시스</t>
  </si>
  <si>
    <t>비침습 RF 볼뉴머 국내 판매 확대, 26년 미국 중국 시장 진출</t>
  </si>
  <si>
    <t>테크윙</t>
  </si>
  <si>
    <t>롯데웰푸드</t>
  </si>
  <si>
    <t>수주잔고를 확인시 기업 밸류에이션도 같이 체크 필요</t>
  </si>
  <si>
    <t>수주잔고 신고가 발생 기업의 업황 지속 가능성 점검</t>
  </si>
  <si>
    <t>그래프</t>
  </si>
  <si>
    <t>종목명</t>
  </si>
  <si>
    <t>업종</t>
  </si>
  <si>
    <t>주요생산제품</t>
  </si>
  <si>
    <t>단위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</si>
  <si>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</si>
  <si>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</si>
  <si>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</si>
  <si>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</si>
  <si>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</si>
  <si>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</si>
  <si>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</si>
  <si>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</si>
  <si>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</si>
  <si>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</si>
  <si>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</si>
  <si>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</si>
  <si>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  <phoneticPr fontId="5" type="noConversion"/>
  </si>
  <si>
    <t>1Q24</t>
    <phoneticPr fontId="5" type="noConversion"/>
  </si>
  <si>
    <t>2Q24</t>
    <phoneticPr fontId="5" type="noConversion"/>
  </si>
  <si>
    <t>수주잔고 또는 수주총액의 흐름</t>
  </si>
  <si>
    <t>1Q24</t>
  </si>
  <si>
    <t>전분기</t>
  </si>
  <si>
    <t>전년동분기</t>
  </si>
  <si>
    <t>LS에코에너지</t>
    <phoneticPr fontId="5" type="noConversion"/>
  </si>
  <si>
    <t>기계</t>
  </si>
  <si>
    <t>전력케이블</t>
  </si>
  <si>
    <t>백만원</t>
  </si>
  <si>
    <t>LS마린솔루션</t>
  </si>
  <si>
    <t>해저케이블</t>
  </si>
  <si>
    <t>억원</t>
  </si>
  <si>
    <t>한국카본</t>
  </si>
  <si>
    <t>조선</t>
  </si>
  <si>
    <t>LNG 운반선 화물창의 핵심 부품인 INSULATION PANEL</t>
  </si>
  <si>
    <t>천USD</t>
  </si>
  <si>
    <t>엘오티베큠</t>
  </si>
  <si>
    <t>반도체</t>
  </si>
  <si>
    <t>건식진공펌프</t>
  </si>
  <si>
    <t>하이비젼시스템</t>
  </si>
  <si>
    <t>IT하드웨어</t>
  </si>
  <si>
    <t>카메라모듈 검사장비</t>
  </si>
  <si>
    <t>동성화인텍</t>
  </si>
  <si>
    <t>화학</t>
  </si>
  <si>
    <t>초저온보냉재 등</t>
  </si>
  <si>
    <t>디아이티</t>
  </si>
  <si>
    <t>AOI Solution, LASER Solution</t>
  </si>
  <si>
    <t>딥노이드</t>
  </si>
  <si>
    <t>의료</t>
  </si>
  <si>
    <t>의료 ai</t>
  </si>
  <si>
    <t>루닛</t>
  </si>
  <si>
    <t>천원</t>
  </si>
  <si>
    <t xml:space="preserve">Handler </t>
  </si>
  <si>
    <t>케이엔솔</t>
  </si>
  <si>
    <t>클린룸</t>
  </si>
  <si>
    <t>신성이엔지</t>
    <phoneticPr fontId="5" type="noConversion"/>
  </si>
  <si>
    <t>천원</t>
    <phoneticPr fontId="5" type="noConversion"/>
  </si>
  <si>
    <t>오션브릿지</t>
  </si>
  <si>
    <t>소재 + CESS 장비</t>
  </si>
  <si>
    <t>아바코</t>
  </si>
  <si>
    <t>디스플레이/2차전지</t>
  </si>
  <si>
    <t>디스플레이</t>
  </si>
  <si>
    <t>대덕전자</t>
  </si>
  <si>
    <t>pcb</t>
  </si>
  <si>
    <t>심텍</t>
  </si>
  <si>
    <t>천usd</t>
  </si>
  <si>
    <t>코리아써키트</t>
  </si>
  <si>
    <t>이수페타시스</t>
  </si>
  <si>
    <t>IT가전</t>
  </si>
  <si>
    <t>인쇄회로기판(PCB)</t>
  </si>
  <si>
    <t>한화엔진</t>
    <phoneticPr fontId="5" type="noConversion"/>
  </si>
  <si>
    <t>자본재</t>
  </si>
  <si>
    <t>선박엔진</t>
  </si>
  <si>
    <t>한화오션</t>
  </si>
  <si>
    <t>삼성중공업</t>
  </si>
  <si>
    <t>HD현대중공업</t>
  </si>
  <si>
    <t>HD한국조선해양</t>
    <phoneticPr fontId="5" type="noConversion"/>
  </si>
  <si>
    <t>하이록코리아</t>
  </si>
  <si>
    <t>피팅벨브</t>
  </si>
  <si>
    <t>태웅</t>
  </si>
  <si>
    <t>단조</t>
  </si>
  <si>
    <t>성광벤드</t>
  </si>
  <si>
    <t>GS건설</t>
  </si>
  <si>
    <t>건설,건축관련</t>
  </si>
  <si>
    <t>국내외 건축, 토목, 플랜트, 주택 등</t>
  </si>
  <si>
    <t>야스</t>
  </si>
  <si>
    <t>OLED 증착원 및 증착 시스템</t>
  </si>
  <si>
    <t>에스에프에이</t>
  </si>
  <si>
    <t>클린, 자동화 물류시스템</t>
  </si>
  <si>
    <t>티앤엘</t>
  </si>
  <si>
    <t>건강관리</t>
  </si>
  <si>
    <t>창상피복재</t>
  </si>
  <si>
    <t>백만원</t>
    <phoneticPr fontId="5" type="noConversion"/>
  </si>
  <si>
    <t>한국항공우주</t>
  </si>
  <si>
    <t>상사,자본재</t>
  </si>
  <si>
    <t>방산</t>
  </si>
  <si>
    <t>한화에어로스페이스</t>
  </si>
  <si>
    <t>한화시스템</t>
  </si>
  <si>
    <t>현대로템</t>
  </si>
  <si>
    <t>철도</t>
  </si>
  <si>
    <t>에스티아이</t>
  </si>
  <si>
    <t>화학물질중앙공급장치(C.C.S.S)</t>
  </si>
  <si>
    <t>원익피앤이</t>
  </si>
  <si>
    <t>조립 및 설비제작</t>
  </si>
  <si>
    <t>퓨런티어</t>
  </si>
  <si>
    <t>소프트웨어</t>
  </si>
  <si>
    <t>자율주행 카메라모듈</t>
  </si>
  <si>
    <t>KG케미칼</t>
  </si>
  <si>
    <t>비료</t>
  </si>
  <si>
    <t>현대엘리베이터</t>
  </si>
  <si>
    <t>건설기계</t>
  </si>
  <si>
    <t>DL이앤씨</t>
  </si>
  <si>
    <t>인텍플러스</t>
  </si>
  <si>
    <t>3D/2D 자동외관검사장비</t>
  </si>
  <si>
    <t>대양전기공업</t>
  </si>
  <si>
    <t>선박조명등</t>
  </si>
  <si>
    <t>RFHIC</t>
  </si>
  <si>
    <t>전력 증폭기</t>
  </si>
  <si>
    <t>비에이치아이</t>
  </si>
  <si>
    <t>HRSG</t>
  </si>
  <si>
    <t>하츠</t>
  </si>
  <si>
    <t>화장품,의류,완구</t>
  </si>
  <si>
    <t>레인지후드</t>
  </si>
  <si>
    <t>두산에너빌리티</t>
  </si>
  <si>
    <t>발전설비 제작(원자력, 화력 등)</t>
  </si>
  <si>
    <t>케이씨씨글라스</t>
  </si>
  <si>
    <t>자동차유리, 건축유리, PHC파일</t>
  </si>
  <si>
    <t>삼성바이오로직스</t>
  </si>
  <si>
    <t>바이오의약품 위탁 생산(CMO)</t>
  </si>
  <si>
    <t>백만불</t>
  </si>
  <si>
    <t>바이넥스</t>
  </si>
  <si>
    <t>에스티팜</t>
  </si>
  <si>
    <t>원료의약사업</t>
  </si>
  <si>
    <t>천 USD</t>
  </si>
  <si>
    <t>벽산</t>
  </si>
  <si>
    <t>단열재, 외장재, 천장재 등</t>
  </si>
  <si>
    <t>태광</t>
  </si>
  <si>
    <t>자이에스앤디</t>
  </si>
  <si>
    <t>디벨로퍼</t>
  </si>
  <si>
    <t>힘스</t>
  </si>
  <si>
    <t>OLED Mask 인장기</t>
  </si>
  <si>
    <t>제우스</t>
  </si>
  <si>
    <t>세정장비</t>
  </si>
  <si>
    <t>피엔티</t>
  </si>
  <si>
    <t>톱텍</t>
  </si>
  <si>
    <t>FA</t>
  </si>
  <si>
    <t>코윈테크</t>
  </si>
  <si>
    <t>2차전지 공정자동화</t>
  </si>
  <si>
    <t>씨아이에스</t>
  </si>
  <si>
    <t>원</t>
  </si>
  <si>
    <t>필옵틱스</t>
  </si>
  <si>
    <t>레이저 응용 장비</t>
  </si>
  <si>
    <t>유비쿼스</t>
  </si>
  <si>
    <t>유무선 인터넷 데이터 전송장비</t>
  </si>
  <si>
    <t>금강공업</t>
  </si>
  <si>
    <t>거푸집(판넬)</t>
  </si>
  <si>
    <t>서희건설</t>
  </si>
  <si>
    <t>토목 및 건축, 주택 공급업</t>
  </si>
  <si>
    <t>sk오션플랜트</t>
  </si>
  <si>
    <t xml:space="preserve">풍력타워 </t>
  </si>
  <si>
    <t>AP시스템</t>
  </si>
  <si>
    <t>AMOLED 제조장비</t>
  </si>
  <si>
    <t>HB솔루션</t>
  </si>
  <si>
    <t>초정밀 측정장비</t>
  </si>
  <si>
    <t>HB테크놀러지</t>
  </si>
  <si>
    <t>AOI 검사장비 등</t>
  </si>
  <si>
    <t>한양이엔지</t>
  </si>
  <si>
    <t>반도체/디스플레이 특수 유틸리티 설비 및 유지보수</t>
  </si>
  <si>
    <t>라온테크</t>
  </si>
  <si>
    <t>반도체 제조라인에서 Wafer를 이송하는 반도체 로봇 및 자동화 모듈</t>
  </si>
  <si>
    <t>파크시스템스</t>
  </si>
  <si>
    <t>원자현미경</t>
  </si>
  <si>
    <t>씨에스윈드</t>
  </si>
  <si>
    <t>백만USD</t>
  </si>
  <si>
    <t>DB하이텍</t>
  </si>
  <si>
    <t>위탁생산</t>
  </si>
  <si>
    <t>K$</t>
  </si>
  <si>
    <t>티씨케이</t>
  </si>
  <si>
    <t>솔리드 sic</t>
  </si>
  <si>
    <t>주성엔지니어링</t>
  </si>
  <si>
    <t>CVD, ALD 장비</t>
  </si>
  <si>
    <t>유진테크</t>
  </si>
  <si>
    <t>LPCVD, Plasma 장비</t>
  </si>
  <si>
    <t>아이에스동서</t>
  </si>
  <si>
    <t>건설 및 요업, 콘크리트파일, 환경사업</t>
  </si>
  <si>
    <t>현대리바트</t>
  </si>
  <si>
    <t>가정용, 사무용, 빌트인 가구</t>
  </si>
  <si>
    <t>테스</t>
  </si>
  <si>
    <t>PE-CVD, Gas Etch</t>
  </si>
  <si>
    <t>백산</t>
  </si>
  <si>
    <t>합성피혁</t>
  </si>
  <si>
    <t>넥스틴</t>
  </si>
  <si>
    <t>반도체 전공정용 패턴 결함 검사 장비</t>
  </si>
  <si>
    <t>디아이</t>
    <phoneticPr fontId="5" type="noConversion"/>
  </si>
  <si>
    <t>반도체 검사장비</t>
    <phoneticPr fontId="5" type="noConversion"/>
  </si>
  <si>
    <t>아이씨디</t>
  </si>
  <si>
    <t>HDP Etcher, Asher</t>
  </si>
  <si>
    <t>선익시스템</t>
  </si>
  <si>
    <t>증착장비</t>
  </si>
  <si>
    <t>비아트론</t>
  </si>
  <si>
    <t>열처리 장비</t>
  </si>
  <si>
    <t>유니셈</t>
  </si>
  <si>
    <t>SCRUBBER, Chiler</t>
  </si>
  <si>
    <t>GST</t>
  </si>
  <si>
    <t>케이씨텍</t>
  </si>
  <si>
    <t>연마(CMP) 장비, 연마 소재(Slurry)</t>
  </si>
  <si>
    <t>원익IPS</t>
  </si>
  <si>
    <t>PE-CVD, ALD, Diffusion Thermal System</t>
  </si>
  <si>
    <t>티에스이</t>
  </si>
  <si>
    <t>프로브카드 등</t>
  </si>
  <si>
    <t>에치에프알</t>
  </si>
  <si>
    <t>이동통신 중계시스템 제조</t>
  </si>
  <si>
    <t>이오플로우</t>
  </si>
  <si>
    <t>웨어러블 인슐린 펌프</t>
  </si>
  <si>
    <t>삼목에스폼</t>
  </si>
  <si>
    <t>쎄트렉아이</t>
  </si>
  <si>
    <t>산업재</t>
  </si>
  <si>
    <t>위성</t>
  </si>
  <si>
    <t>AP위성</t>
  </si>
  <si>
    <t>천원</t>
    <phoneticPr fontId="5" type="noConversion"/>
  </si>
  <si>
    <t>인텔리안테크</t>
  </si>
  <si>
    <t>안테나등</t>
  </si>
  <si>
    <t>비츠로셀</t>
  </si>
  <si>
    <t>일차전지</t>
  </si>
  <si>
    <t>한전KPS</t>
  </si>
  <si>
    <t>발전정비</t>
  </si>
  <si>
    <t>슈어소프트테크</t>
    <phoneticPr fontId="5" type="noConversion"/>
  </si>
  <si>
    <t>자율주행</t>
  </si>
  <si>
    <t>현대오토에버</t>
  </si>
  <si>
    <t>자동차 및 자율주행</t>
  </si>
  <si>
    <t>엠로</t>
  </si>
  <si>
    <t>생성형 AI 등</t>
  </si>
  <si>
    <t>원준</t>
  </si>
  <si>
    <t>2차전지 열처리 장비</t>
  </si>
  <si>
    <t>윤성에프앤씨</t>
  </si>
  <si>
    <t>2차전지 믹싱장비</t>
  </si>
  <si>
    <t>전력 송배전 관련 기기 및 시스템</t>
  </si>
  <si>
    <t>대한전선</t>
    <phoneticPr fontId="5" type="noConversion"/>
  </si>
  <si>
    <t xml:space="preserve">전력선 및 통신선 등 </t>
    <phoneticPr fontId="5" type="noConversion"/>
  </si>
  <si>
    <t>LS</t>
  </si>
  <si>
    <t>전선, 일렉트릭, 엠트론 등</t>
  </si>
  <si>
    <t>HD현대일렉트릭</t>
  </si>
  <si>
    <t>변압기 등</t>
  </si>
  <si>
    <t>LS ELECTRIC</t>
  </si>
  <si>
    <t>일진전기</t>
  </si>
  <si>
    <t>전선업</t>
  </si>
  <si>
    <t>제룡전기</t>
  </si>
  <si>
    <t>백만원</t>
    <phoneticPr fontId="5" type="noConversion"/>
  </si>
  <si>
    <t>효성중공업</t>
  </si>
  <si>
    <t>아래는 북마크 일일히 해두세요</t>
  </si>
  <si>
    <t>주소</t>
  </si>
  <si>
    <t>설명</t>
  </si>
  <si>
    <t>https://kr.investing.com/</t>
  </si>
  <si>
    <t>경제일정, 미국 야간 선물등 살펴봅니다.</t>
  </si>
  <si>
    <t>https://edition.cnn.com/markets/fear-and-greed</t>
  </si>
  <si>
    <t>미국 피어앤 그리드 인덱스</t>
  </si>
  <si>
    <t>https://dailyshotbrief.com/</t>
  </si>
  <si>
    <t>경제지표를 일별로 제공</t>
  </si>
  <si>
    <t>https://stats.oecd.org/index.aspx?queryid=6617</t>
  </si>
  <si>
    <t>OECD 경기선행지수</t>
  </si>
  <si>
    <t>https://globalmonitor.einfomax.co.kr/mr_usa_hts.html#/01/01</t>
  </si>
  <si>
    <t>해외뉴스를 보기 편하게</t>
  </si>
  <si>
    <t>https://finviz.com/</t>
  </si>
  <si>
    <t>핀비즈 주요 종목들 상승 체크 및 뉴스 체크</t>
  </si>
  <si>
    <t>https://dart.fss.or.kr/main.do</t>
  </si>
  <si>
    <t>전자공시시스템</t>
  </si>
  <si>
    <t>https://kind.krx.co.kr/main.do?method=loadInitPage&amp;scrnmode=1</t>
  </si>
  <si>
    <t>KIND 사이트(IR 행사 및 IR 자료 찾기 좋음)</t>
  </si>
  <si>
    <t>https://www.index.go.kr/unity/potal/main/EachDtlPageDetail.do?idx_cd=1057</t>
  </si>
  <si>
    <t>경기선행순환변동치</t>
  </si>
  <si>
    <t>https://comp.wisereport.co.kr/wiseReport/summary/ReportSummary.aspx</t>
  </si>
  <si>
    <t>애널리스트 기업리포트 요약</t>
  </si>
  <si>
    <t>http://www.100ppi.com/monitor/</t>
  </si>
  <si>
    <t>주요 중국 화학가격 등</t>
  </si>
  <si>
    <t>http://www.sunsirs.com/kr/sectors-11.html</t>
  </si>
  <si>
    <t>http://www.dce.com.cn/DCE/market_data/index.html</t>
  </si>
  <si>
    <t>대련 상품 시장</t>
  </si>
  <si>
    <t>https://www.ccfgroup.com/</t>
    <phoneticPr fontId="5" type="noConversion"/>
  </si>
  <si>
    <t>중국 화학 및 스판덱스</t>
  </si>
  <si>
    <t>https://www.kores.net/komis/main/userMain/main.do</t>
  </si>
  <si>
    <t>광물가격 보기 좋음(구리 및 리튬 등)</t>
  </si>
  <si>
    <t>http://www.kdfa.or.kr/index.php</t>
  </si>
  <si>
    <t>면세점 관련 데이터(출입국 포함)</t>
  </si>
  <si>
    <t>https://www.immigration.go.kr/immigration/index.do</t>
  </si>
  <si>
    <t>외국인 출입국 데이터</t>
  </si>
  <si>
    <t>https://www.airportal.go.kr/knowledge/statsnew/main.jsp#</t>
  </si>
  <si>
    <t>항공통계(저가항공 등 살펴보는 용도)</t>
  </si>
  <si>
    <t>https://www.kaida.co.kr/ko/statistics/NewRegistList.do</t>
  </si>
  <si>
    <t>수입자동차 통계(수입차 파는 회사들 투자시)</t>
  </si>
  <si>
    <t>https://www.mysteel.com/</t>
  </si>
  <si>
    <t>중국 철강관련 뉴스 확인 등</t>
  </si>
  <si>
    <t>https://en.macromicro.me/charts/35559/china-credit-impulse-index</t>
  </si>
  <si>
    <t>중국 크레딧 임펄스(제조업 선행 지표)</t>
  </si>
  <si>
    <t>https://www.metal.com/Chemical-Compound/202110220001</t>
  </si>
  <si>
    <t>육불화인산리튬(천보, 후성 참고)</t>
  </si>
  <si>
    <t>https://www.metal.com/Chemical-Compound/201102250059</t>
  </si>
  <si>
    <t>탄산리튬</t>
  </si>
  <si>
    <t>https://www.metal.com/Chemical-Compound/201102250281</t>
  </si>
  <si>
    <t>수산화리튬</t>
  </si>
  <si>
    <t>https://www.lme.com/en/Metals/EV/LME-Lithium-Hydroxide-CIF-Fastmarkets-MB#Price+graph</t>
  </si>
  <si>
    <t>lme 수산화리튬</t>
  </si>
  <si>
    <t>https://xny.mysteel.com/</t>
  </si>
  <si>
    <t>2차전지 중국 판가</t>
  </si>
  <si>
    <t>https://www.bandtrass.or.kr/index.do</t>
  </si>
  <si>
    <t>수출데이터 조회용(잠정치 및 확정치 여기서)</t>
  </si>
  <si>
    <t>https://www.bandtrass.or.kr/hsnavi.do?page=F&amp;site=</t>
  </si>
  <si>
    <t>HS코드 조회용</t>
  </si>
  <si>
    <t>https://stat.kita.net/?pcVer=1</t>
  </si>
  <si>
    <t>수출데이터 조회용</t>
  </si>
  <si>
    <t>https://fred.stlouisfed.org/</t>
  </si>
  <si>
    <t>프레드</t>
  </si>
  <si>
    <t>https://dream.kotra.or.kr/kotranews/index.do</t>
  </si>
  <si>
    <t>코트라 해외시장 뉴스</t>
  </si>
  <si>
    <t>http://www.icbattery.com/</t>
  </si>
  <si>
    <t>중국 배터리 소재 가격 동향(공짜아님)</t>
  </si>
  <si>
    <t>https://stat.molit.go.kr/portal/cate/statFileView.do?hRsId=58&amp;hFormId=5</t>
  </si>
  <si>
    <t>중고차 매매 동향 체크</t>
  </si>
  <si>
    <t>https://kostat.go.kr/board.es?mid=a10301050100&amp;bid=216</t>
  </si>
  <si>
    <t>산업활동동향(반도체 재고지수 확인 가능)</t>
  </si>
  <si>
    <t>http://yellow.kr/finance.jsp</t>
  </si>
  <si>
    <t>광고가 있지만 경제데이터 모아보기좋음</t>
  </si>
  <si>
    <t>http://yellow.kr/financeRefiningMargins.jsp</t>
  </si>
  <si>
    <t>정제마진 여기서 보는중</t>
  </si>
  <si>
    <t>https://fred.stlouisfed.org/series/WPU117409</t>
    <phoneticPr fontId="5" type="noConversion"/>
  </si>
  <si>
    <t>미국 변압기 판가</t>
  </si>
  <si>
    <t>https://www.investing.com/rates-bonds/u.s.-10-year-bond-yield</t>
  </si>
  <si>
    <t>10년 미국 채권 수익률</t>
  </si>
  <si>
    <t>https://www.energytrend.com/solar-price.html</t>
  </si>
  <si>
    <t>태양광 가격</t>
  </si>
  <si>
    <t>https://www.bgmea.com.bd/page/Export_Performance</t>
    <phoneticPr fontId="5" type="noConversion"/>
  </si>
  <si>
    <t>방글라데시 의류 수출</t>
  </si>
  <si>
    <t>https://www.makalot.com.tw/investor/financial/financial-reports</t>
  </si>
  <si>
    <t>마칼롯 사이트 의류 매출 동향</t>
  </si>
  <si>
    <t>한세실업, 영원무역</t>
  </si>
  <si>
    <t>https://www.eclat.com.tw/zh-tw/investors/financials/</t>
  </si>
  <si>
    <t>엘클랏 사이트 의류 매출 동향</t>
  </si>
  <si>
    <t>http://www.hanatourcompany.com/kor/ir/ircenter/data_list.asp?irType=irBBS&amp;noticeType=4</t>
  </si>
  <si>
    <t>하나투어 모객</t>
  </si>
  <si>
    <t>https://www.oled-info.com/</t>
  </si>
  <si>
    <t>oled 정보</t>
  </si>
  <si>
    <t>https://www.dramexchange.com/</t>
  </si>
  <si>
    <t>디램익스체인지</t>
  </si>
  <si>
    <t>https://ko.tradingeconomics.com/</t>
  </si>
  <si>
    <t>상품가격동향</t>
  </si>
  <si>
    <t>https://d3fy651gv2fhd3.cloudfront.net/</t>
  </si>
  <si>
    <t>https://en.sse.net.cn/</t>
  </si>
  <si>
    <t>운임가격</t>
  </si>
  <si>
    <t>https://www.ekapepia.com/priceStat/period/pigPeriodAuctionPrice.do</t>
  </si>
  <si>
    <t>국내 돼지가격</t>
  </si>
  <si>
    <t>https://www.trendforce.com/</t>
  </si>
  <si>
    <t>트렌드포스</t>
  </si>
  <si>
    <t>https://www.yardeni.com/</t>
  </si>
  <si>
    <t>야드니리서치</t>
  </si>
  <si>
    <t>https://finance.sina.com.cn/futures/quotes/HC0.shtml</t>
  </si>
  <si>
    <t>열연코일 선물</t>
  </si>
  <si>
    <t>https://www.ismworld.org/supply-management-news-and-reports/reports/ism-report-on-business/</t>
  </si>
  <si>
    <t>ism레포트 확인</t>
  </si>
  <si>
    <t>https://www.steeldaily.co.kr/</t>
  </si>
  <si>
    <t>스틸데일리</t>
  </si>
  <si>
    <t>http://www.krei.re.kr:18181/</t>
  </si>
  <si>
    <t>해외곡물시장정보</t>
  </si>
  <si>
    <t>항공 화물 운임</t>
  </si>
  <si>
    <t>https://www.mobileindex.com/mi-chart/realtime-rank</t>
  </si>
  <si>
    <t>모바일 인덱스(게임랭킹)</t>
  </si>
  <si>
    <t>https://www.kobaco.co.kr/site/adstat/home</t>
  </si>
  <si>
    <t>광고경기</t>
  </si>
  <si>
    <t>https://kr.investing.com/economic-calendar/machine-tool-orders-200</t>
  </si>
  <si>
    <t>일본공작기계</t>
  </si>
  <si>
    <t>https://kr.investing.com/economic-calendar/interest-rate-decision-168</t>
  </si>
  <si>
    <t>연준금리결정</t>
  </si>
  <si>
    <t>https://kr.investing.com/economic-calendar/manufacturing-pmi-829</t>
  </si>
  <si>
    <t>미국제조업구매자관리자지수</t>
  </si>
  <si>
    <t>https://kr.investing.com/economic-calendar/ism-manufacturing-new-orders-index-1483</t>
  </si>
  <si>
    <t>ism제조업 신규주문</t>
  </si>
  <si>
    <t>https://kr.investing.com/commodities/us-steel-coil-futures</t>
  </si>
  <si>
    <t>미국 철강코일 선물</t>
  </si>
  <si>
    <t>https://kr.investing.com/economic-calendar/u.s.-baker-hughes-total-rig-count-1810</t>
  </si>
  <si>
    <t>베이커휴즈 원유시추수</t>
  </si>
  <si>
    <t>http://data.cpcaauto.com/</t>
  </si>
  <si>
    <t>중국전기차판매동향 확인 가능</t>
  </si>
  <si>
    <t>https://www.marketwatch.com/</t>
  </si>
  <si>
    <t>마켓워치</t>
  </si>
  <si>
    <t>https://seekingalpha.com/</t>
  </si>
  <si>
    <t>시킹알파</t>
  </si>
  <si>
    <t>https://www.cnstock.com/</t>
  </si>
  <si>
    <t>상하이증권뉴스</t>
  </si>
  <si>
    <t>https://www.etftrends.com/</t>
  </si>
  <si>
    <t>etf트렌드</t>
  </si>
  <si>
    <t>http://www.molit.go.kr/USR/NEWS/m_71/lst.jsp?search_section=p_sec_2</t>
  </si>
  <si>
    <t>국토교통부(주택통계)</t>
  </si>
  <si>
    <t>http://www.caict.ac.cn/kxyj/qwfb/qwsj/</t>
  </si>
  <si>
    <t>caict 중국 스마트폰 동향</t>
  </si>
  <si>
    <t>https://investor.lamresearch.com/</t>
  </si>
  <si>
    <t>램리서치 ir</t>
  </si>
  <si>
    <t>https://investor.tsmc.com/english/monthly-revenue/2023</t>
  </si>
  <si>
    <t>tsmc 월별 수익</t>
  </si>
  <si>
    <t>https://www.asmpt.com/</t>
  </si>
  <si>
    <t>asmpt</t>
  </si>
  <si>
    <t>https://www.nanya.com/en/IR/36/Monthly%20Revenue</t>
  </si>
  <si>
    <t>난야 월별 수익</t>
  </si>
  <si>
    <t>https://www.aspeedtech.com/financials_monthly/?years=2023</t>
  </si>
  <si>
    <t>aspeed 월별 수익</t>
  </si>
  <si>
    <t>https://www.gce.com.tw/en/revenue.html</t>
  </si>
  <si>
    <t>골드서킷코리아 월별 수익</t>
  </si>
  <si>
    <t>https://www.largan.com.tw/html/about/invest_en.php</t>
  </si>
  <si>
    <t>라간정밀 월별수익</t>
  </si>
  <si>
    <t>LG이노텍</t>
  </si>
  <si>
    <t>https://www.zdtco.com/en/investor/events</t>
  </si>
  <si>
    <t>젠딩홀딩스 월별수익</t>
  </si>
  <si>
    <t>PCB</t>
  </si>
  <si>
    <t>https://www.unimicron.com/en/money01.html</t>
  </si>
  <si>
    <t>유니마이크론 월별 수익</t>
  </si>
  <si>
    <t>https://www.taiflex.com.tw/english/fin</t>
  </si>
  <si>
    <t>타이플렉스 월별수익</t>
  </si>
  <si>
    <t>이녹스첨단소재</t>
  </si>
  <si>
    <t>https://www.taimide.com.tw/en/revenue-952836</t>
  </si>
  <si>
    <t>타이미드 월별수익</t>
  </si>
  <si>
    <t>PI첨단소재</t>
  </si>
  <si>
    <t>https://www.novatek.com.tw/en-global/IR_info/ir_monthlysales</t>
  </si>
  <si>
    <t>노바텍 월별수익</t>
  </si>
  <si>
    <t>LX세미콘</t>
  </si>
  <si>
    <t>https://www.yageo.com/en/Investor/Index/monthly_sales</t>
  </si>
  <si>
    <t>야게오 월별수익</t>
  </si>
  <si>
    <t>삼성전기</t>
  </si>
  <si>
    <t>https://www.shippingnewsnet.com/sdata/page.html</t>
  </si>
  <si>
    <t>해운지수(B DI)</t>
  </si>
  <si>
    <t>https://www.kobaco.co.kr/site/adstat/board/kai_report/list</t>
  </si>
  <si>
    <t xml:space="preserve"> SBS </t>
  </si>
  <si>
    <t>https://www.kofia.or.kr/brd/m_198/list.do</t>
  </si>
  <si>
    <t>CFD 잔고동향</t>
  </si>
  <si>
    <t>https://medium.com/@mingchikuo</t>
  </si>
  <si>
    <t>귀밍치 사이트</t>
  </si>
  <si>
    <t>https://new.fearnpulse.com/fearnleys-weekly-report</t>
  </si>
  <si>
    <t>LPG운임</t>
  </si>
  <si>
    <t>https://www.jnto.go.jp/statistics/data/visitors-statistics/</t>
  </si>
  <si>
    <t>일본방문 외국인</t>
  </si>
  <si>
    <t>JTC</t>
  </si>
  <si>
    <t>https://www.kofiabond.or.kr/</t>
  </si>
  <si>
    <t>한국채권</t>
  </si>
  <si>
    <t>https://www.oliveyoung.co.kr/store/main/getBestList.do?dispCatNo=900000100100001&amp;fltDispCatNo=10000010001&amp;pageIdx=1&amp;rowsPerPage=8&amp;t_page=%EB%9E%AD%ED%82%B9&amp;t_click=%ED%8C%90%EB%A7%A4%EB%9E%AD%ED%82%B9_%EC%8A%A4%ED%82%A8%EC%BC%80%EC%96%B4</t>
    <phoneticPr fontId="5" type="noConversion"/>
  </si>
  <si>
    <t>올리브영 랭킹</t>
    <phoneticPr fontId="5" type="noConversion"/>
  </si>
  <si>
    <t>https://www.shilladfs.com/estore/kr/ko/ranking</t>
    <phoneticPr fontId="5" type="noConversion"/>
  </si>
  <si>
    <t>면세점 판매랭킹</t>
    <phoneticPr fontId="5" type="noConversion"/>
  </si>
  <si>
    <t>https://www.amazon.com/Best-Sellers-Beauty-Personal-Care-Facial-Serums/zgbs/beauty/7792528011/ref=zg_bs_nav_beauty_4_11062031</t>
    <phoneticPr fontId="5" type="noConversion"/>
  </si>
  <si>
    <r>
      <t>아마존 세럼</t>
    </r>
    <r>
      <rPr>
        <sz val="11"/>
        <color rgb="FF000000"/>
        <rFont val="맑은 고딕"/>
        <family val="3"/>
        <charset val="129"/>
      </rPr>
      <t xml:space="preserve"> 판매랭킹</t>
    </r>
    <phoneticPr fontId="5" type="noConversion"/>
  </si>
  <si>
    <t>사옥관련 투자는 제외하였습니다.  항공기 투자는 제외하였습니다.</t>
    <phoneticPr fontId="5" type="noConversion"/>
  </si>
  <si>
    <t>N</t>
  </si>
  <si>
    <t>회사명</t>
  </si>
  <si>
    <t>공시날짜</t>
  </si>
  <si>
    <t>정정사유</t>
  </si>
  <si>
    <t>투자대상</t>
  </si>
  <si>
    <t>투자목적</t>
  </si>
  <si>
    <t>투자금액(원)</t>
  </si>
  <si>
    <t>자기자본대비비율</t>
  </si>
  <si>
    <t>투자기간</t>
  </si>
  <si>
    <t>공시주소</t>
  </si>
  <si>
    <t>정정전</t>
  </si>
  <si>
    <t>최근공시</t>
  </si>
  <si>
    <t>시작일</t>
  </si>
  <si>
    <t>종료일</t>
  </si>
  <si>
    <t>흥아해운</t>
    <phoneticPr fontId="5" type="noConversion"/>
  </si>
  <si>
    <t>2024.09.20</t>
    <phoneticPr fontId="5" type="noConversion"/>
  </si>
  <si>
    <t>신규시설투자</t>
    <phoneticPr fontId="5" type="noConversion"/>
  </si>
  <si>
    <t xml:space="preserve"> 20K DWT급 케미컬탱커선 1척</t>
    <phoneticPr fontId="5" type="noConversion"/>
  </si>
  <si>
    <t>https://dart.fss.or.kr/dsaf001/main.do?rcpNo=20240920800553</t>
    <phoneticPr fontId="5" type="noConversion"/>
  </si>
  <si>
    <t>한선엔지니어링</t>
    <phoneticPr fontId="5" type="noConversion"/>
  </si>
  <si>
    <t>2024.09.06</t>
    <phoneticPr fontId="5" type="noConversion"/>
  </si>
  <si>
    <t>신규시설투자</t>
    <phoneticPr fontId="5" type="noConversion"/>
  </si>
  <si>
    <t xml:space="preserve"> 매출 확대로 인한 추가 공장 증축 및 보관물류시스템 구축</t>
    <phoneticPr fontId="5" type="noConversion"/>
  </si>
  <si>
    <t>https://dart.fss.or.kr/dsaf001/main.do?rcpNo=20240906900491</t>
    <phoneticPr fontId="5" type="noConversion"/>
  </si>
  <si>
    <t>엔바이오니아</t>
  </si>
  <si>
    <t>2024.07.31</t>
    <phoneticPr fontId="5" type="noConversion"/>
  </si>
  <si>
    <t>2024.09.06</t>
    <phoneticPr fontId="5" type="noConversion"/>
  </si>
  <si>
    <t>신규 시설 투자완료 등에 따른 정정</t>
    <phoneticPr fontId="5" type="noConversion"/>
  </si>
  <si>
    <t>신규시설투자</t>
  </si>
  <si>
    <t>양산라인의 헤드박스 및 와이어 파트 설비 제작</t>
  </si>
  <si>
    <t>https://dart.fss.or.kr/dsaf001/main.do?rcpNo=20240906900290</t>
    <phoneticPr fontId="5" type="noConversion"/>
  </si>
  <si>
    <t>유니테크노</t>
  </si>
  <si>
    <t>2023.06.05</t>
  </si>
  <si>
    <t>2024.09.06</t>
    <phoneticPr fontId="5" type="noConversion"/>
  </si>
  <si>
    <t>설계변경에 따른 준공예정일의 변경</t>
    <phoneticPr fontId="5" type="noConversion"/>
  </si>
  <si>
    <t>친환경차 부품공장을 신설하여 배터리 생산설비 및 제품의 크기로 인한 공간 확보, 부품 모듈화를 위한 생산설비 증설.</t>
  </si>
  <si>
    <t>https://dart.fss.or.kr/dsaf001/main.do?rcpNo=20240906900170</t>
    <phoneticPr fontId="5" type="noConversion"/>
  </si>
  <si>
    <t>한울소재과학</t>
    <phoneticPr fontId="5" type="noConversion"/>
  </si>
  <si>
    <t>2024.09.05</t>
    <phoneticPr fontId="5" type="noConversion"/>
  </si>
  <si>
    <t xml:space="preserve"> 감광제(PSM) 생산을 위한 감광제 생산설비 제작</t>
    <phoneticPr fontId="5" type="noConversion"/>
  </si>
  <si>
    <t>https://dart.fss.or.kr/dsaf001/main.do?rcpNo=20240905900387</t>
    <phoneticPr fontId="5" type="noConversion"/>
  </si>
  <si>
    <t>애경케미칼</t>
    <phoneticPr fontId="5" type="noConversion"/>
  </si>
  <si>
    <t xml:space="preserve"> TPC(TerePhthaloyl Chloride) 양산 시설</t>
    <phoneticPr fontId="5" type="noConversion"/>
  </si>
  <si>
    <t>아라미드 섬유 핵심원료 TPC 국내 최초 양산을 통한 신규사업 전개</t>
    <phoneticPr fontId="5" type="noConversion"/>
  </si>
  <si>
    <t>https://dart.fss.or.kr/dsaf001/main.do?rcpNo=20240905800166</t>
    <phoneticPr fontId="5" type="noConversion"/>
  </si>
  <si>
    <t>농심</t>
    <phoneticPr fontId="5" type="noConversion"/>
  </si>
  <si>
    <t>2024.08.30</t>
    <phoneticPr fontId="5" type="noConversion"/>
  </si>
  <si>
    <t>녹산수출전용공장</t>
    <phoneticPr fontId="5" type="noConversion"/>
  </si>
  <si>
    <t>수출 수요 확대에 따른 생산 공급 경쟁력 강화</t>
    <phoneticPr fontId="5" type="noConversion"/>
  </si>
  <si>
    <t>https://dart.fss.or.kr/dsaf001/main.do?rcpNo=20240830800385</t>
    <phoneticPr fontId="5" type="noConversion"/>
  </si>
  <si>
    <t>비씨엔씨</t>
  </si>
  <si>
    <t>2024.06.28</t>
    <phoneticPr fontId="5" type="noConversion"/>
  </si>
  <si>
    <t>투자금액 변경 및 공장완공 증빙서류 제출</t>
    <phoneticPr fontId="5" type="noConversion"/>
  </si>
  <si>
    <t>신규시설투자등(공장신축)</t>
  </si>
  <si>
    <t>반도체 부품 가공라인 증설을 위한 양산공장 신축</t>
  </si>
  <si>
    <t>https://dart.fss.or.kr/dsaf001/main.do?rcpNo=20240830900396</t>
    <phoneticPr fontId="5" type="noConversion"/>
  </si>
  <si>
    <t>이엔에프테크놀로지</t>
  </si>
  <si>
    <t>2024.06.27</t>
    <phoneticPr fontId="5" type="noConversion"/>
  </si>
  <si>
    <t>2024.08.30</t>
    <phoneticPr fontId="5" type="noConversion"/>
  </si>
  <si>
    <t>투자기간 종료일 연장</t>
    <phoneticPr fontId="5" type="noConversion"/>
  </si>
  <si>
    <t>신규 시설 투자</t>
  </si>
  <si>
    <t>반도체용 불산 제조설비 증설</t>
  </si>
  <si>
    <t>https://dart.fss.or.kr/dsaf001/main.do?rcpNo=20240830900609</t>
    <phoneticPr fontId="5" type="noConversion"/>
  </si>
  <si>
    <t>포스코퓨처엠</t>
    <phoneticPr fontId="5" type="noConversion"/>
  </si>
  <si>
    <t>2020.03.30</t>
    <phoneticPr fontId="5" type="noConversion"/>
  </si>
  <si>
    <t>2024.08.29</t>
    <phoneticPr fontId="5" type="noConversion"/>
  </si>
  <si>
    <t>설비개선 및 물가상승 영향 반영</t>
    <phoneticPr fontId="5" type="noConversion"/>
  </si>
  <si>
    <t>인조흑연 음극재 제조설비</t>
    <phoneticPr fontId="5" type="noConversion"/>
  </si>
  <si>
    <t>2차전지 시장 수요에 대응한 생산설비 신설</t>
    <phoneticPr fontId="5" type="noConversion"/>
  </si>
  <si>
    <t>https://dart.fss.or.kr/dsaf001/main.do?rcpNo=20240829800610</t>
    <phoneticPr fontId="5" type="noConversion"/>
  </si>
  <si>
    <t>아이엘사이언스</t>
  </si>
  <si>
    <t>2022.08.25</t>
  </si>
  <si>
    <t>2024.08.23</t>
    <phoneticPr fontId="5" type="noConversion"/>
  </si>
  <si>
    <t>투자금액 변경으로 인한 정정</t>
    <phoneticPr fontId="5" type="noConversion"/>
  </si>
  <si>
    <t xml:space="preserve"> 전기차 시그널 램프외 실리콘렌즈가 포함된 차량용 라이팅 모듈 생산을 대응하기 위한 생산설비 신설 및 인프라 구축</t>
  </si>
  <si>
    <t>https://dart.fss.or.kr/dsaf001/main.do?rcpNo=20240823900486</t>
    <phoneticPr fontId="5" type="noConversion"/>
  </si>
  <si>
    <t>켐트로닉스</t>
    <phoneticPr fontId="5" type="noConversion"/>
  </si>
  <si>
    <t>2024.08.22</t>
    <phoneticPr fontId="5" type="noConversion"/>
  </si>
  <si>
    <t>신규시설투자(보완투자)</t>
    <phoneticPr fontId="5" type="noConversion"/>
  </si>
  <si>
    <t>식각 시설 관련 보완 투자</t>
    <phoneticPr fontId="5" type="noConversion"/>
  </si>
  <si>
    <t>https://dart.fss.or.kr/dsaf001/main.do?rcpNo=20240822900109</t>
    <phoneticPr fontId="5" type="noConversion"/>
  </si>
  <si>
    <t>모다이노칩</t>
    <phoneticPr fontId="5" type="noConversion"/>
  </si>
  <si>
    <t>2024.08.20</t>
    <phoneticPr fontId="5" type="noConversion"/>
  </si>
  <si>
    <t>패션브랜드등 복합 제조/유통/서비스 단지 조성을 통한 협업체제 구축으로 생산물류거점단지 확보 및 사업경쟁력 강화</t>
    <phoneticPr fontId="5" type="noConversion"/>
  </si>
  <si>
    <t>https://dart.fss.or.kr/dsaf001/main.do?rcpNo=20240820900088</t>
    <phoneticPr fontId="5" type="noConversion"/>
  </si>
  <si>
    <t>펩트론</t>
    <phoneticPr fontId="5" type="noConversion"/>
  </si>
  <si>
    <t>2024.08.19</t>
    <phoneticPr fontId="5" type="noConversion"/>
  </si>
  <si>
    <t>공장신설</t>
    <phoneticPr fontId="5" type="noConversion"/>
  </si>
  <si>
    <t>해외 진출을 위한 cGMP급 약효지속성 의약품 전용 생산시설 건설</t>
    <phoneticPr fontId="5" type="noConversion"/>
  </si>
  <si>
    <t>https://dart.fss.or.kr/dsaf001/main.do?rcpNo=20240819900248</t>
    <phoneticPr fontId="5" type="noConversion"/>
  </si>
  <si>
    <t>경보제약</t>
    <phoneticPr fontId="5" type="noConversion"/>
  </si>
  <si>
    <t>2024.08.14</t>
    <phoneticPr fontId="5" type="noConversion"/>
  </si>
  <si>
    <t>ADC공장 신설</t>
    <phoneticPr fontId="5" type="noConversion"/>
  </si>
  <si>
    <t>ADC CDMO 사업을 위한 GMP 생산시설 구축</t>
    <phoneticPr fontId="5" type="noConversion"/>
  </si>
  <si>
    <t>https://dart.fss.or.kr/dsaf001/main.do?rcpNo=20240814803549</t>
    <phoneticPr fontId="5" type="noConversion"/>
  </si>
  <si>
    <t>에스에프에이</t>
    <phoneticPr fontId="5" type="noConversion"/>
  </si>
  <si>
    <t>2024.08.13</t>
    <phoneticPr fontId="5" type="noConversion"/>
  </si>
  <si>
    <t>신규 시설투자</t>
    <phoneticPr fontId="5" type="noConversion"/>
  </si>
  <si>
    <t>조립장 증설을 통한 생산능력 확충</t>
    <phoneticPr fontId="5" type="noConversion"/>
  </si>
  <si>
    <t>https://dart.fss.or.kr/dsaf001/main.do?rcpNo=20240813900335</t>
    <phoneticPr fontId="5" type="noConversion"/>
  </si>
  <si>
    <t>엘에스일렉트릭</t>
    <phoneticPr fontId="5" type="noConversion"/>
  </si>
  <si>
    <t>2024.05.21</t>
    <phoneticPr fontId="5" type="noConversion"/>
  </si>
  <si>
    <t>투자금액 및 투자기간 변경</t>
    <phoneticPr fontId="5" type="noConversion"/>
  </si>
  <si>
    <t>초고압 변압기 생산을 위한 시설 증설 투자</t>
    <phoneticPr fontId="5" type="noConversion"/>
  </si>
  <si>
    <t>수주 증가 물량 대응을 위한 초고압 변압기 자작 Capa 확보</t>
    <phoneticPr fontId="5" type="noConversion"/>
  </si>
  <si>
    <t>http://dart.fss.or.kr/dsaf001/main.do?rcpNo=20240813800252</t>
    <phoneticPr fontId="5" type="noConversion"/>
  </si>
  <si>
    <t>태광산업</t>
    <phoneticPr fontId="5" type="noConversion"/>
  </si>
  <si>
    <t>청화소다 증설</t>
    <phoneticPr fontId="5" type="noConversion"/>
  </si>
  <si>
    <t>청화소다 증설을 통한 사업경쟁력 강화</t>
    <phoneticPr fontId="5" type="noConversion"/>
  </si>
  <si>
    <t>https://dart.fss.or.kr/dsaf001/main.do?rcpNo=20240813801041</t>
    <phoneticPr fontId="5" type="noConversion"/>
  </si>
  <si>
    <t>동국산업</t>
  </si>
  <si>
    <t>2022.08.24</t>
  </si>
  <si>
    <t>2024.08.08</t>
    <phoneticPr fontId="5" type="noConversion"/>
  </si>
  <si>
    <t>생산 CAPA 확대, 자재 가격 및 환율 상승으로 투자금액 정정</t>
    <phoneticPr fontId="5" type="noConversion"/>
  </si>
  <si>
    <t xml:space="preserve"> 신규시설투자</t>
  </si>
  <si>
    <t>사업다각화를 위한 신규시설투자</t>
    <phoneticPr fontId="5" type="noConversion"/>
  </si>
  <si>
    <t>https://dart.fss.or.kr/dsaf001/main.do?rcpNo=20240808900289</t>
    <phoneticPr fontId="5" type="noConversion"/>
  </si>
  <si>
    <t>유나이티드</t>
    <phoneticPr fontId="5" type="noConversion"/>
  </si>
  <si>
    <t>2024.08.07</t>
    <phoneticPr fontId="5" type="noConversion"/>
  </si>
  <si>
    <t>세종 전동일반사업단지에 공장 신축</t>
    <phoneticPr fontId="5" type="noConversion"/>
  </si>
  <si>
    <t>개량신약 매출증대에 대비한 공장 확보(CAPA 확대)</t>
    <phoneticPr fontId="5" type="noConversion"/>
  </si>
  <si>
    <t>https://dart.fss.or.kr/dsaf001/main.do?rcpNo=20240807800552</t>
    <phoneticPr fontId="5" type="noConversion"/>
  </si>
  <si>
    <t>에이텀</t>
    <phoneticPr fontId="5" type="noConversion"/>
  </si>
  <si>
    <t>2024.02.26</t>
    <phoneticPr fontId="5" type="noConversion"/>
  </si>
  <si>
    <t>설비투자금액 및 준공일정 변경</t>
    <phoneticPr fontId="5" type="noConversion"/>
  </si>
  <si>
    <t>신규설비투자</t>
    <phoneticPr fontId="5" type="noConversion"/>
  </si>
  <si>
    <t>EV 전기차용 트랜스 신규제품 생산설비 구축</t>
    <phoneticPr fontId="5" type="noConversion"/>
  </si>
  <si>
    <t>https://dart.fss.or.kr/dsaf001/main.do?rcpNo=20240731900568</t>
    <phoneticPr fontId="5" type="noConversion"/>
  </si>
  <si>
    <t>케이아이엔엑스</t>
  </si>
  <si>
    <t>2024.05.28</t>
    <phoneticPr fontId="5" type="noConversion"/>
  </si>
  <si>
    <t>2024.07.30</t>
    <phoneticPr fontId="5" type="noConversion"/>
  </si>
  <si>
    <t>도급 변경계약 체결로 인한 투자금액, 투자기간 등 변경</t>
    <phoneticPr fontId="5" type="noConversion"/>
  </si>
  <si>
    <t>신규 시설 투자(사옥 및 데이터센터 신축)</t>
  </si>
  <si>
    <t>신사업 및 외연확장을 위한 신사옥 및 데이터 센터 신축</t>
  </si>
  <si>
    <t>https://dart.fss.or.kr/dsaf001/main.do?rcpNo=20240730900284</t>
    <phoneticPr fontId="5" type="noConversion"/>
  </si>
  <si>
    <t>선바이오</t>
  </si>
  <si>
    <t>2024.04.17</t>
    <phoneticPr fontId="5" type="noConversion"/>
  </si>
  <si>
    <t>공사기간 연장으로 인한 변경</t>
    <phoneticPr fontId="5" type="noConversion"/>
  </si>
  <si>
    <t xml:space="preserve"> 신규시설투자(공장신축 등)</t>
  </si>
  <si>
    <t xml:space="preserve"> 생산설비 증대로 안정적인 생산량 확보 및 주문량 소화</t>
  </si>
  <si>
    <t>https://dart.fss.or.kr/dsaf001/main.do?rcpNo=20240730900295</t>
    <phoneticPr fontId="5" type="noConversion"/>
  </si>
  <si>
    <t>2024.04.05</t>
    <phoneticPr fontId="5" type="noConversion"/>
  </si>
  <si>
    <t>계약내용 변동</t>
    <phoneticPr fontId="5" type="noConversion"/>
  </si>
  <si>
    <t xml:space="preserve"> - 차세대 통신네트워크를 위한 R&amp;D 핵심역량 강화
- 장기 성장 인프라 구축 및 시장경쟁력 강화
- 스타트업 육성
- 특화망 5G 모범단지 실현하여 사업개발에 활용</t>
  </si>
  <si>
    <t>http://dart.fss.or.kr/dsaf001/main.do?rcpNo=20240730900178</t>
    <phoneticPr fontId="5" type="noConversion"/>
  </si>
  <si>
    <t>백광산업</t>
    <phoneticPr fontId="5" type="noConversion"/>
  </si>
  <si>
    <t>2024.07.30</t>
    <phoneticPr fontId="5" type="noConversion"/>
  </si>
  <si>
    <t>새만금 국가산업단지 5공구 신규공장투자</t>
    <phoneticPr fontId="5" type="noConversion"/>
  </si>
  <si>
    <t>2차전지 기초소재 설비투자</t>
    <phoneticPr fontId="5" type="noConversion"/>
  </si>
  <si>
    <t>https://dart.fss.or.kr/dsaf001/main.do?rcpNo=20240730800392</t>
    <phoneticPr fontId="5" type="noConversion"/>
  </si>
  <si>
    <t>2023.06.22</t>
  </si>
  <si>
    <t>투자기간견장</t>
    <phoneticPr fontId="5" type="noConversion"/>
  </si>
  <si>
    <t xml:space="preserve"> EV 전용 PI Varnish 생산을 위한 설비
(3,000톤/년 규모의 생산라인 1개 호기)</t>
  </si>
  <si>
    <t xml:space="preserve"> 생산능력 증대를 통해 빠르게 성장하는 EV 시장 수요에 선제적으로 대응함으로써 시장 지배력을 강화하기 위한 설비 투자</t>
  </si>
  <si>
    <t>https://dart.fss.or.kr/dsaf001/main.do?rcpNo=20240730800001</t>
    <phoneticPr fontId="5" type="noConversion"/>
  </si>
  <si>
    <t>sk하이닉스</t>
    <phoneticPr fontId="5" type="noConversion"/>
  </si>
  <si>
    <t>2024.07.26</t>
    <phoneticPr fontId="5" type="noConversion"/>
  </si>
  <si>
    <t>용인 반도체 클러스터 내 신규 Fab 건설</t>
    <phoneticPr fontId="5" type="noConversion"/>
  </si>
  <si>
    <t>AI 반도체 수요 대응 및 미래 성장 동력 확보</t>
    <phoneticPr fontId="5" type="noConversion"/>
  </si>
  <si>
    <t>https://dart.fss.or.kr/dsaf001/main.do?rcpNo=20240726800615</t>
    <phoneticPr fontId="5" type="noConversion"/>
  </si>
  <si>
    <t>예스24</t>
    <phoneticPr fontId="5" type="noConversion"/>
  </si>
  <si>
    <t>2024.07.25</t>
    <phoneticPr fontId="5" type="noConversion"/>
  </si>
  <si>
    <t>스마트물류센터 신규 건설 중 자동화 설비 구축</t>
    <phoneticPr fontId="5" type="noConversion"/>
  </si>
  <si>
    <t>https://dart.fss.or.kr/dsaf001/main.do?rcpNo=20240725900249</t>
    <phoneticPr fontId="5" type="noConversion"/>
  </si>
  <si>
    <t>지역난방공사</t>
    <phoneticPr fontId="5" type="noConversion"/>
  </si>
  <si>
    <t>2024.07.23</t>
    <phoneticPr fontId="5" type="noConversion"/>
  </si>
  <si>
    <t>고양창릉지구 집단에너지사업</t>
    <phoneticPr fontId="5" type="noConversion"/>
  </si>
  <si>
    <t>집단에너지 확대 보급</t>
    <phoneticPr fontId="5" type="noConversion"/>
  </si>
  <si>
    <t>-</t>
    <phoneticPr fontId="5" type="noConversion"/>
  </si>
  <si>
    <t>-</t>
    <phoneticPr fontId="5" type="noConversion"/>
  </si>
  <si>
    <t>https://dart.fss.or.kr/dsaf001/main.do?rcpNo=20240723800487</t>
    <phoneticPr fontId="5" type="noConversion"/>
  </si>
  <si>
    <t>하림지주</t>
    <phoneticPr fontId="5" type="noConversion"/>
  </si>
  <si>
    <t>2024.07.2</t>
    <phoneticPr fontId="5" type="noConversion"/>
  </si>
  <si>
    <t>시설증설</t>
    <phoneticPr fontId="5" type="noConversion"/>
  </si>
  <si>
    <t>생산라인 증설 및 업무기반 시설 확충</t>
    <phoneticPr fontId="5" type="noConversion"/>
  </si>
  <si>
    <t>https://dart.fss.or.kr/dsaf001/main.do?rcpNo=20240723900548</t>
    <phoneticPr fontId="5" type="noConversion"/>
  </si>
  <si>
    <t>경동나비엔</t>
    <phoneticPr fontId="5" type="noConversion"/>
  </si>
  <si>
    <t>2024.07.19</t>
    <phoneticPr fontId="5" type="noConversion"/>
  </si>
  <si>
    <t>당사 서탄공장 부품동&amp;사출동 건립공사 및 열교환기동 증축공사</t>
    <phoneticPr fontId="5" type="noConversion"/>
  </si>
  <si>
    <t>서탄공장 생산능력 증대를 위한 제조시설 구축</t>
    <phoneticPr fontId="5" type="noConversion"/>
  </si>
  <si>
    <t>https://dart.fss.or.kr/dsaf001/main.do?rcpNo=20240719800126</t>
    <phoneticPr fontId="5" type="noConversion"/>
  </si>
  <si>
    <t>미원에스씨</t>
    <phoneticPr fontId="5" type="noConversion"/>
  </si>
  <si>
    <t>2024.07.18</t>
    <phoneticPr fontId="5" type="noConversion"/>
  </si>
  <si>
    <t>완주테크노밸리 신규공장 투자</t>
    <phoneticPr fontId="5" type="noConversion"/>
  </si>
  <si>
    <t>에너지경화수지 생산시설 투자</t>
    <phoneticPr fontId="5" type="noConversion"/>
  </si>
  <si>
    <t>https://dart.fss.or.kr/dsaf001/main.do?rcpNo=20240718800288</t>
    <phoneticPr fontId="5" type="noConversion"/>
  </si>
  <si>
    <t>이랜텍</t>
  </si>
  <si>
    <t>2024.04.30</t>
    <phoneticPr fontId="5" type="noConversion"/>
  </si>
  <si>
    <t>2024.07.15</t>
    <phoneticPr fontId="5" type="noConversion"/>
  </si>
  <si>
    <t>투자금액 증액 및 투자기간 종료일 변경</t>
    <phoneticPr fontId="5" type="noConversion"/>
  </si>
  <si>
    <t>신규 시설투자</t>
  </si>
  <si>
    <t>가정용 ESS 생산 관련 신규공장 설립</t>
  </si>
  <si>
    <t>https://dart.fss.or.kr/dsaf001/main.do?rcpNo=20240715900283</t>
    <phoneticPr fontId="5" type="noConversion"/>
  </si>
  <si>
    <t>램테크놀러지</t>
    <phoneticPr fontId="5" type="noConversion"/>
  </si>
  <si>
    <t>2024.07.10</t>
    <phoneticPr fontId="5" type="noConversion"/>
  </si>
  <si>
    <t>신규시설 투자(공장리모델링 및 시설증설)</t>
    <phoneticPr fontId="5" type="noConversion"/>
  </si>
  <si>
    <t xml:space="preserve"> - 금산공장 기존 제조소 리모델링 및 생산시설 증설을 통한 제품 경쟁력 제고 및 기술 개발 제품 통한 성장 동력 확보
① HBM용,TGV용,TSV용 전용 제품 생산 설비 구축
② 양자 거동 제어를 통한 인산정제 설비 1기 구축
③ 불산 자동화 생산설비 구축 및 증설</t>
    <phoneticPr fontId="5" type="noConversion"/>
  </si>
  <si>
    <t>https://dart.fss.or.kr/dsaf001/main.do?rcpNo=20240710900550</t>
    <phoneticPr fontId="5" type="noConversion"/>
  </si>
  <si>
    <t>에이치브이엠</t>
    <phoneticPr fontId="5" type="noConversion"/>
  </si>
  <si>
    <t>2024.07.08</t>
    <phoneticPr fontId="5" type="noConversion"/>
  </si>
  <si>
    <t xml:space="preserve"> 첨단금속 제조 능력 증대 및 중장기 성장 기반 확보를 위한 첨단금속 전문 용해 및 제조공장 건축</t>
    <phoneticPr fontId="5" type="noConversion"/>
  </si>
  <si>
    <t>https://dart.fss.or.kr/dsaf001/main.do?rcpNo=20240708900129</t>
    <phoneticPr fontId="5" type="noConversion"/>
  </si>
  <si>
    <t>에이에스텍</t>
    <phoneticPr fontId="5" type="noConversion"/>
  </si>
  <si>
    <t>2024.07.08</t>
    <phoneticPr fontId="5" type="noConversion"/>
  </si>
  <si>
    <t>사업확장에 따른 제조시설 신축공사</t>
    <phoneticPr fontId="5" type="noConversion"/>
  </si>
  <si>
    <t>https://dart.fss.or.kr/dsaf001/main.do?rcpNo=20240708900249</t>
    <phoneticPr fontId="5" type="noConversion"/>
  </si>
  <si>
    <t>제이오</t>
  </si>
  <si>
    <t>2023.06.07</t>
  </si>
  <si>
    <t>2024.07.05</t>
    <phoneticPr fontId="5" type="noConversion"/>
  </si>
  <si>
    <t>이차전지 Chasm 장기화에 따른 생산시설 투자기간 변경</t>
    <phoneticPr fontId="5" type="noConversion"/>
  </si>
  <si>
    <t>시설증설</t>
  </si>
  <si>
    <t xml:space="preserve"> 탄소나노튜브 생산시설 증설을 통한 생산능력 확대로 미래 성장동력 확보</t>
  </si>
  <si>
    <t>https://dart.fss.or.kr/dsaf001/main.do?rcpNo=20240705900347</t>
    <phoneticPr fontId="5" type="noConversion"/>
  </si>
  <si>
    <t>두산테스나</t>
    <phoneticPr fontId="5" type="noConversion"/>
  </si>
  <si>
    <t>2024.07.04</t>
    <phoneticPr fontId="5" type="noConversion"/>
  </si>
  <si>
    <t>중장기 성장 기반 확보를 위한 공장 신설</t>
    <phoneticPr fontId="5" type="noConversion"/>
  </si>
  <si>
    <t>https://dart.fss.or.kr/dsaf001/main.do?rcpNo=20240704900405</t>
    <phoneticPr fontId="5" type="noConversion"/>
  </si>
  <si>
    <t>잉크테크</t>
  </si>
  <si>
    <t>2023.04.18</t>
  </si>
  <si>
    <t>2024.06.28</t>
    <phoneticPr fontId="5" type="noConversion"/>
  </si>
  <si>
    <t>신규시설투자(공장신축)</t>
  </si>
  <si>
    <t>평택공장 이전 및 증설</t>
  </si>
  <si>
    <t>https://dart.fss.or.kr/dsaf001/main.do?rcpNo=20240628900936</t>
    <phoneticPr fontId="5" type="noConversion"/>
  </si>
  <si>
    <t>SK케미칼</t>
  </si>
  <si>
    <t>2021.09.13</t>
  </si>
  <si>
    <t>2024.06.27</t>
    <phoneticPr fontId="5" type="noConversion"/>
  </si>
  <si>
    <t>Multi-Utility 사업투자</t>
  </si>
  <si>
    <t>산업전력 및 스팀 공급사업 전문화 추진</t>
  </si>
  <si>
    <t>http://dart.fss.or.kr/dsaf001/main.do?rcpNo=20240628800511</t>
    <phoneticPr fontId="5" type="noConversion"/>
  </si>
  <si>
    <t>램테크놀로지</t>
  </si>
  <si>
    <t>2024.02.13</t>
    <phoneticPr fontId="5" type="noConversion"/>
  </si>
  <si>
    <t>2024.06.27</t>
    <phoneticPr fontId="5" type="noConversion"/>
  </si>
  <si>
    <t xml:space="preserve"> 1) 행정소송 진행 상황(2심 판결) 및 회사 대응방안에 대해 기타 투자 판단에 참고할 사항 변경</t>
    <phoneticPr fontId="5" type="noConversion"/>
  </si>
  <si>
    <t>공장신설 및 신규설비 투자</t>
  </si>
  <si>
    <t xml:space="preserve"> 기존제품 생산능력 향상 및 신규제품 생산시설확보</t>
  </si>
  <si>
    <t>https://dart.fss.or.kr/dsaf001/main.do?rcpNo=20240627900314</t>
    <phoneticPr fontId="5" type="noConversion"/>
  </si>
  <si>
    <t>다우기술</t>
  </si>
  <si>
    <t>2023.03.29</t>
  </si>
  <si>
    <t>투자금액, 투자기간 종료일 변경</t>
  </si>
  <si>
    <t>다우 클라우드 데이터센터 구축</t>
  </si>
  <si>
    <t>클라우드 수요 증가에 따른 데이터센터 사업 확대</t>
  </si>
  <si>
    <t>https://dart.fss.or.kr/dsaf001/main.do?rcpNo=20240627800817</t>
    <phoneticPr fontId="5" type="noConversion"/>
  </si>
  <si>
    <t>휴럼</t>
  </si>
  <si>
    <t>2024.04.09</t>
    <phoneticPr fontId="5" type="noConversion"/>
  </si>
  <si>
    <t>2024.06.25</t>
    <phoneticPr fontId="5" type="noConversion"/>
  </si>
  <si>
    <t>투자기간 종료일 연장</t>
    <phoneticPr fontId="5" type="noConversion"/>
  </si>
  <si>
    <t xml:space="preserve"> 오송산업단지 공장 신축공사</t>
  </si>
  <si>
    <t xml:space="preserve"> 공장 및 물류창고 신축을 통한 생산설비 확충과 물류비용 절감</t>
  </si>
  <si>
    <t>https://dart.fss.or.kr/dsaf001/main.do?rcpNo=20240625900178</t>
    <phoneticPr fontId="5" type="noConversion"/>
  </si>
  <si>
    <t>SK오션플랜트</t>
    <phoneticPr fontId="5" type="noConversion"/>
  </si>
  <si>
    <t>신규시설투자</t>
    <phoneticPr fontId="5" type="noConversion"/>
  </si>
  <si>
    <t>신야드 건설</t>
    <phoneticPr fontId="5" type="noConversion"/>
  </si>
  <si>
    <t>https://dart.fss.or.kr/dsaf001/main.do?rcpNo=20240625800311</t>
    <phoneticPr fontId="5" type="noConversion"/>
  </si>
  <si>
    <t>켐트로스</t>
  </si>
  <si>
    <t>2024.04.29</t>
    <phoneticPr fontId="5" type="noConversion"/>
  </si>
  <si>
    <t>2024.06.20</t>
    <phoneticPr fontId="5" type="noConversion"/>
  </si>
  <si>
    <t xml:space="preserve"> 관할 지자체로부터 2024년 6월 20일 건축물 사용승인을 통보 받아 투자기간 종료일 정정</t>
    <phoneticPr fontId="5" type="noConversion"/>
  </si>
  <si>
    <t>신규시설투자(공장증설등)</t>
  </si>
  <si>
    <t>사업확장에 따른 공장 신축공사</t>
    <phoneticPr fontId="5" type="noConversion"/>
  </si>
  <si>
    <t>https://dart.fss.or.kr/dsaf001/main.do?rcpNo=20240620900156</t>
    <phoneticPr fontId="5" type="noConversion"/>
  </si>
  <si>
    <t>HMM</t>
  </si>
  <si>
    <t>2021.06.29</t>
  </si>
  <si>
    <t>2024.06.18</t>
    <phoneticPr fontId="5" type="noConversion"/>
  </si>
  <si>
    <t>조선소 선박건조 지연에 따른 투자종료일(선박인도일) 정정</t>
    <phoneticPr fontId="5" type="noConversion"/>
  </si>
  <si>
    <t>13,000TEU 컨테이너 선박 12척</t>
  </si>
  <si>
    <t>중장기 경쟁력 강화 도모</t>
  </si>
  <si>
    <t>http://dart.fss.or.kr/dsaf001/main.do?rcpNo=20240618800206</t>
    <phoneticPr fontId="5" type="noConversion"/>
  </si>
  <si>
    <t>넥스틸</t>
    <phoneticPr fontId="5" type="noConversion"/>
  </si>
  <si>
    <t>2024.06.18</t>
    <phoneticPr fontId="5" type="noConversion"/>
  </si>
  <si>
    <t>롤벤딩설비 및 관련 부대시설(포항3공장)</t>
    <phoneticPr fontId="5" type="noConversion"/>
  </si>
  <si>
    <t>신규시장(풍력발전하부구조물강관) 진출</t>
    <phoneticPr fontId="5" type="noConversion"/>
  </si>
  <si>
    <t>http://dart.fss.or.kr/dsaf001/main.do?rcpNo=20240618800411</t>
    <phoneticPr fontId="5" type="noConversion"/>
  </si>
  <si>
    <t>케이에스피</t>
    <phoneticPr fontId="5" type="noConversion"/>
  </si>
  <si>
    <t>2024.04.30</t>
    <phoneticPr fontId="5" type="noConversion"/>
  </si>
  <si>
    <t>2024.06.17</t>
    <phoneticPr fontId="5" type="noConversion"/>
  </si>
  <si>
    <t>공사완료에 따른 정정</t>
    <phoneticPr fontId="5" type="noConversion"/>
  </si>
  <si>
    <t>시설증설</t>
    <phoneticPr fontId="5" type="noConversion"/>
  </si>
  <si>
    <t>배기밸브 조립공장 증축을 통한 생산능력 확대</t>
    <phoneticPr fontId="5" type="noConversion"/>
  </si>
  <si>
    <t>https://dart.fss.or.kr/dsaf001/main.do?rcpNo=20240617900351</t>
    <phoneticPr fontId="5" type="noConversion"/>
  </si>
  <si>
    <t>선진뷰티사이언스</t>
    <phoneticPr fontId="5" type="noConversion"/>
  </si>
  <si>
    <t>2024.06.13</t>
    <phoneticPr fontId="5" type="noConversion"/>
  </si>
  <si>
    <t>신류시설투자등</t>
    <phoneticPr fontId="5" type="noConversion"/>
  </si>
  <si>
    <t>신규사업 otc(over the counter drug:일반의약품) 전용 화장품 ODM/OEM 공장 및 물류창고 증축</t>
    <phoneticPr fontId="5" type="noConversion"/>
  </si>
  <si>
    <t>https://dart.fss.or.kr/dsaf001/main.do?rcpNo=20240613900259</t>
    <phoneticPr fontId="5" type="noConversion"/>
  </si>
  <si>
    <t>효성중공업</t>
    <phoneticPr fontId="5" type="noConversion"/>
  </si>
  <si>
    <t>2024.06.12</t>
    <phoneticPr fontId="5" type="noConversion"/>
  </si>
  <si>
    <t>초고압 변압기 생산을 위한 창원공장 증설 투자</t>
    <phoneticPr fontId="5" type="noConversion"/>
  </si>
  <si>
    <t>초고압 변압기 수주 물량 증가 대응을 위해
창원공장 생산설비 증설을 통한 생산능력 확대</t>
    <phoneticPr fontId="5" type="noConversion"/>
  </si>
  <si>
    <t>https://dart.fss.or.kr/dsaf001/main.do?rcpNo=20240612800420</t>
    <phoneticPr fontId="5" type="noConversion"/>
  </si>
  <si>
    <t>농심</t>
    <phoneticPr fontId="5" type="noConversion"/>
  </si>
  <si>
    <t>울산삼남물류단지</t>
    <phoneticPr fontId="5" type="noConversion"/>
  </si>
  <si>
    <t>국내 및 수출 확대에 따른 물류 경쟁력 강화</t>
    <phoneticPr fontId="5" type="noConversion"/>
  </si>
  <si>
    <t>https://dart.fss.or.kr/dsaf001/main.do?rcpNo=20240612800343</t>
    <phoneticPr fontId="5" type="noConversion"/>
  </si>
  <si>
    <t>2024.06.11</t>
    <phoneticPr fontId="5" type="noConversion"/>
  </si>
  <si>
    <t>20K DWT급 케미컬탱커선 1척</t>
    <phoneticPr fontId="5" type="noConversion"/>
  </si>
  <si>
    <t>20K DWT급 선대 확충을 통한 항로 확장 및 영업력 증대</t>
    <phoneticPr fontId="5" type="noConversion"/>
  </si>
  <si>
    <t>https://dart.fss.or.kr/dsaf001/main.do?rcpNo=20240611800335</t>
    <phoneticPr fontId="5" type="noConversion"/>
  </si>
  <si>
    <t>비나텍</t>
  </si>
  <si>
    <t>2024.03.29</t>
    <phoneticPr fontId="5" type="noConversion"/>
  </si>
  <si>
    <t>2024.06.10</t>
    <phoneticPr fontId="5" type="noConversion"/>
  </si>
  <si>
    <t>종료일 변경에 따른 정정</t>
    <phoneticPr fontId="5" type="noConversion"/>
  </si>
  <si>
    <t>신규시설투자(공장신설)</t>
  </si>
  <si>
    <t>신규시장 대응을 위한 생산시설 확보</t>
  </si>
  <si>
    <t>https://dart.fss.or.kr/dsaf001/main.do?rcpNo=20240610900500</t>
    <phoneticPr fontId="5" type="noConversion"/>
  </si>
  <si>
    <t>하나마이크론</t>
    <phoneticPr fontId="5" type="noConversion"/>
  </si>
  <si>
    <t>시설투자(반도체 TEST 설비)</t>
    <phoneticPr fontId="5" type="noConversion"/>
  </si>
  <si>
    <t>비메모리 TEST 시장 대응을 위한 생산능력 추가 확보</t>
    <phoneticPr fontId="5" type="noConversion"/>
  </si>
  <si>
    <t>https://dart.fss.or.kr/dsaf001/main.do?rcpNo=20240610900175</t>
    <phoneticPr fontId="5" type="noConversion"/>
  </si>
  <si>
    <t>삼양식품</t>
    <phoneticPr fontId="5" type="noConversion"/>
  </si>
  <si>
    <t>2023.08.11</t>
    <phoneticPr fontId="5" type="noConversion"/>
  </si>
  <si>
    <t>2024.06.05</t>
    <phoneticPr fontId="5" type="noConversion"/>
  </si>
  <si>
    <t>건축 제반 비용 증가 및 생산라인 1기 추가 도입에 따른 투자금액 증액</t>
    <phoneticPr fontId="5" type="noConversion"/>
  </si>
  <si>
    <t>밀양 제2공장 신설</t>
    <phoneticPr fontId="5" type="noConversion"/>
  </si>
  <si>
    <t>생산 능력 확대 및 생산 효율성 증대</t>
    <phoneticPr fontId="5" type="noConversion"/>
  </si>
  <si>
    <t>https://dart.fss.or.kr/dsaf001/main.do?rcpNo=20240605800455</t>
    <phoneticPr fontId="5" type="noConversion"/>
  </si>
  <si>
    <t>예스24</t>
    <phoneticPr fontId="5" type="noConversion"/>
  </si>
  <si>
    <t>스마트물류센터 신규 건설</t>
    <phoneticPr fontId="5" type="noConversion"/>
  </si>
  <si>
    <t>https://dart.fss.or.kr/dsaf001/main.do?rcpNo=20240605900476</t>
    <phoneticPr fontId="5" type="noConversion"/>
  </si>
  <si>
    <t>동원시스템즈</t>
  </si>
  <si>
    <t>2023.09.20</t>
  </si>
  <si>
    <t>2024.06.03</t>
    <phoneticPr fontId="5" type="noConversion"/>
  </si>
  <si>
    <t>투자금액정정</t>
  </si>
  <si>
    <t>무균충전음료 사업투자</t>
  </si>
  <si>
    <t>무균충전음료 사업 확대를 위한 공장 및 설비투자</t>
  </si>
  <si>
    <t>https://dart.fss.or.kr/dsaf001/main.do?rcpNo=20240603800480</t>
    <phoneticPr fontId="5" type="noConversion"/>
  </si>
  <si>
    <t>LS(LS전선)</t>
  </si>
  <si>
    <t>2024.06.03</t>
    <phoneticPr fontId="5" type="noConversion"/>
  </si>
  <si>
    <t>해저케이블 생산 설비</t>
    <phoneticPr fontId="5" type="noConversion"/>
  </si>
  <si>
    <t>해저케이블 생산 능력 확충</t>
  </si>
  <si>
    <t>https://dart.fss.or.kr/dsaf001/main.do?rcpNo=20240603800214</t>
    <phoneticPr fontId="5" type="noConversion"/>
  </si>
  <si>
    <t>고려시멘트</t>
  </si>
  <si>
    <t>2023.03.31</t>
  </si>
  <si>
    <t>2024.05.31</t>
    <phoneticPr fontId="5" type="noConversion"/>
  </si>
  <si>
    <t>투자기간 종료일 변경</t>
    <phoneticPr fontId="5" type="noConversion"/>
  </si>
  <si>
    <t>고로슬래그미분말 생산 신규시설투자 및 공장증설</t>
  </si>
  <si>
    <t>https://dart.fss.or.kr/dsaf001/main.do?rcpNo=20240531901286</t>
    <phoneticPr fontId="5" type="noConversion"/>
  </si>
  <si>
    <t>대주전자재료</t>
  </si>
  <si>
    <t>2023.07.26</t>
  </si>
  <si>
    <t>2024.05.30</t>
    <phoneticPr fontId="5" type="noConversion"/>
  </si>
  <si>
    <t>투자금액및 투자기간 변경</t>
    <phoneticPr fontId="5" type="noConversion"/>
  </si>
  <si>
    <t>이차전지용 실리콘 음극재 제조시설 확대에 따른 전력망 확보</t>
  </si>
  <si>
    <t>https://dart.fss.or.kr/dsaf001/main.do?rcpNo=20240530900354</t>
    <phoneticPr fontId="5" type="noConversion"/>
  </si>
  <si>
    <t>아시아나항공</t>
    <phoneticPr fontId="5" type="noConversion"/>
  </si>
  <si>
    <t>2024.04.12</t>
    <phoneticPr fontId="5" type="noConversion"/>
  </si>
  <si>
    <t>2024.05.29</t>
    <phoneticPr fontId="5" type="noConversion"/>
  </si>
  <si>
    <t xml:space="preserve"> B747-400F (1번기) 구매가 조정</t>
    <phoneticPr fontId="5" type="noConversion"/>
  </si>
  <si>
    <t>항공기 도입 (B747-400F 2대)</t>
    <phoneticPr fontId="5" type="noConversion"/>
  </si>
  <si>
    <t>노후 화물기 대체를 통한 정시성 및 안전 강화</t>
    <phoneticPr fontId="5" type="noConversion"/>
  </si>
  <si>
    <t>https://dart.fss.or.kr/dsaf001/main.do?rcpNo=20240529800421</t>
    <phoneticPr fontId="5" type="noConversion"/>
  </si>
  <si>
    <t>앱코</t>
    <phoneticPr fontId="5" type="noConversion"/>
  </si>
  <si>
    <t>2024.05.29</t>
    <phoneticPr fontId="5" type="noConversion"/>
  </si>
  <si>
    <t>신규시설투자(김포학운5산업단지 물류센터 신축)</t>
    <phoneticPr fontId="5" type="noConversion"/>
  </si>
  <si>
    <t>물류센터 증설을 통한 물류시스템과 사후관리서비스 개선</t>
    <phoneticPr fontId="5" type="noConversion"/>
  </si>
  <si>
    <t>http://dart.fss.or.kr/dsaf001/main.do?rcpNo=20240529900110</t>
    <phoneticPr fontId="5" type="noConversion"/>
  </si>
  <si>
    <t>LB세미콘</t>
    <phoneticPr fontId="5" type="noConversion"/>
  </si>
  <si>
    <t>반도체 Bump 및 Test 부문 매출확대</t>
    <phoneticPr fontId="5" type="noConversion"/>
  </si>
  <si>
    <t>http://dart.fss.or.kr/dsaf001/main.do?rcpNo=20240529900456</t>
    <phoneticPr fontId="5" type="noConversion"/>
  </si>
  <si>
    <t>일진하이솔루스</t>
  </si>
  <si>
    <t>2023.09.26</t>
  </si>
  <si>
    <t>2024.05.28</t>
    <phoneticPr fontId="5" type="noConversion"/>
  </si>
  <si>
    <t>수소상용차 생산을 위한 시설 투자</t>
  </si>
  <si>
    <t>수소상용차 물량 증가 대응을 위한 CAPA 확보</t>
  </si>
  <si>
    <t>https://dart.fss.or.kr/dsaf001/main.do?rcpNo=20240528800222</t>
    <phoneticPr fontId="5" type="noConversion"/>
  </si>
  <si>
    <t>팬오션</t>
    <phoneticPr fontId="5" type="noConversion"/>
  </si>
  <si>
    <t>2024.05.13</t>
    <phoneticPr fontId="5" type="noConversion"/>
  </si>
  <si>
    <t>MR Tanker 2척 건조</t>
    <phoneticPr fontId="5" type="noConversion"/>
  </si>
  <si>
    <t>선대 경쟁력 강화</t>
    <phoneticPr fontId="5" type="noConversion"/>
  </si>
  <si>
    <t>http://dart.fss.or.kr/dsaf001/main.do?rcpNo=20240513800204</t>
    <phoneticPr fontId="5" type="noConversion"/>
  </si>
  <si>
    <t>카티스</t>
    <phoneticPr fontId="5" type="noConversion"/>
  </si>
  <si>
    <t>2024.05.10</t>
    <phoneticPr fontId="5" type="noConversion"/>
  </si>
  <si>
    <t xml:space="preserve"> 신규시설(공장증축)투자</t>
    <phoneticPr fontId="5" type="noConversion"/>
  </si>
  <si>
    <t xml:space="preserve"> 영업 확대에 따른 생산 시설 증설 및
제품 첨단화 R&amp;D Center 확장</t>
    <phoneticPr fontId="5" type="noConversion"/>
  </si>
  <si>
    <t>http://dart.fss.or.kr/dsaf001/main.do?rcpNo=20240510900889</t>
    <phoneticPr fontId="5" type="noConversion"/>
  </si>
  <si>
    <t>대한뉴팜</t>
    <phoneticPr fontId="5" type="noConversion"/>
  </si>
  <si>
    <t>2024.05.07</t>
    <phoneticPr fontId="5" type="noConversion"/>
  </si>
  <si>
    <t>주사제 및 고형제 생산 증대를 위한 공장 증축</t>
    <phoneticPr fontId="5" type="noConversion"/>
  </si>
  <si>
    <t>http://dart.fss.or.kr/dsaf001/main.do?rcpNo=20240507900397</t>
    <phoneticPr fontId="5" type="noConversion"/>
  </si>
  <si>
    <t>디티앤씨알오</t>
  </si>
  <si>
    <t>2023.05.11</t>
  </si>
  <si>
    <t>2024.05.02</t>
    <phoneticPr fontId="5" type="noConversion"/>
  </si>
  <si>
    <t>공사기간의 연장에 따른 투자기간 연장 및 투자금액 증가</t>
    <phoneticPr fontId="5" type="noConversion"/>
  </si>
  <si>
    <t>PK/PD센터용 시설투자</t>
  </si>
  <si>
    <t>https://dart.fss.or.kr/dsaf001/main.do?rcpNo=20240502900349</t>
    <phoneticPr fontId="5" type="noConversion"/>
  </si>
  <si>
    <t>쏘닉스</t>
    <phoneticPr fontId="5" type="noConversion"/>
  </si>
  <si>
    <t>대상 : Advanced Packaging 신규 R&amp;D 및 파일럿 라인 투자
목적 : 차세대 무선 및 전장용 통신 모듈에 적용될 어드밴스드 패키징 기술 개발 및 파일럿 라인 투자를 통해 기존 파운드리 고객사 매출영역 확대 및 성장동력 확보</t>
    <phoneticPr fontId="5" type="noConversion"/>
  </si>
  <si>
    <t>http://dart.fss.or.kr/dsaf001/main.do?rcpNo=20240502900271</t>
    <phoneticPr fontId="5" type="noConversion"/>
  </si>
  <si>
    <t>에코앤드림</t>
    <phoneticPr fontId="5" type="noConversion"/>
  </si>
  <si>
    <t>2024.01.12</t>
    <phoneticPr fontId="5" type="noConversion"/>
  </si>
  <si>
    <t>전구체 생산 Capacity 증설</t>
    <phoneticPr fontId="5" type="noConversion"/>
  </si>
  <si>
    <t>http://dart.fss.or.kr/dsaf001/main.do?rcpNo=20240430900545</t>
    <phoneticPr fontId="5" type="noConversion"/>
  </si>
  <si>
    <t>세아특수강</t>
    <phoneticPr fontId="5" type="noConversion"/>
  </si>
  <si>
    <t>원주공장 건물 증축 및 생산설비 투자</t>
    <phoneticPr fontId="5" type="noConversion"/>
  </si>
  <si>
    <t>자동차용 조향부품 생산을 위한 신규설비 및 공장건설</t>
    <phoneticPr fontId="5" type="noConversion"/>
  </si>
  <si>
    <t>https://dart.fss.or.kr/dsaf001/main.do?rcpNo=20240429800762</t>
    <phoneticPr fontId="5" type="noConversion"/>
  </si>
  <si>
    <t>현대글로비스</t>
    <phoneticPr fontId="5" type="noConversion"/>
  </si>
  <si>
    <t>2024.04.25</t>
    <phoneticPr fontId="5" type="noConversion"/>
  </si>
  <si>
    <t>10,800RT급 LNG DF 자동차선 6척 신조</t>
    <phoneticPr fontId="5" type="noConversion"/>
  </si>
  <si>
    <t>중장기 선대 운영 안정화, 국제 환경규제 강화 대응 및 당사의 2045년 탄소 중립 로드맵 달성을 위한 LNG 이중연료(Dual Fuel) 추진엔진 선대 신조</t>
    <phoneticPr fontId="5" type="noConversion"/>
  </si>
  <si>
    <t>https://dart.fss.or.kr/dsaf001/main.do?rcpNo=20240425800143</t>
    <phoneticPr fontId="5" type="noConversion"/>
  </si>
  <si>
    <t>SK하이닉스</t>
    <phoneticPr fontId="5" type="noConversion"/>
  </si>
  <si>
    <t>2024.04.24</t>
    <phoneticPr fontId="5" type="noConversion"/>
  </si>
  <si>
    <t>청주 M15X 건설</t>
    <phoneticPr fontId="5" type="noConversion"/>
  </si>
  <si>
    <t xml:space="preserve"> 선제적인 반도체 수요 대응을 위한 차세대 DRAM 생산능력 확장
시설 확보를 통한 수도권 곡물 가공 공장 물량
신규 유치</t>
    <phoneticPr fontId="5" type="noConversion"/>
  </si>
  <si>
    <t>https://dart.fss.or.kr/dsaf001/main.do?rcpNo=20240424800596</t>
    <phoneticPr fontId="5" type="noConversion"/>
  </si>
  <si>
    <t>2022.04.25</t>
  </si>
  <si>
    <t>2024.04.19</t>
    <phoneticPr fontId="5" type="noConversion"/>
  </si>
  <si>
    <t>투자금액의 변경</t>
    <phoneticPr fontId="5" type="noConversion"/>
  </si>
  <si>
    <t>고객의 요구물량 증가에 따른 제품 생산능력 확대</t>
  </si>
  <si>
    <t>https://dart.fss.or.kr/dsaf001/main.do?rcpNo=20240419900185</t>
    <phoneticPr fontId="5" type="noConversion"/>
  </si>
  <si>
    <t>선광</t>
    <phoneticPr fontId="5" type="noConversion"/>
  </si>
  <si>
    <t>2024.04.19</t>
    <phoneticPr fontId="5" type="noConversion"/>
  </si>
  <si>
    <t>신규 시설투자(당진 양곡 자동화터미널)</t>
    <phoneticPr fontId="5" type="noConversion"/>
  </si>
  <si>
    <t xml:space="preserve"> 충남권역 내 양곡 전용 하역시설 및 친환경 저장
시설 확보를 통한 수도권 곡물 가공 공장 물량
신규 유치</t>
    <phoneticPr fontId="5" type="noConversion"/>
  </si>
  <si>
    <t>https://dart.fss.or.kr/dsaf001/main.do?rcpNo=20240419900281</t>
    <phoneticPr fontId="5" type="noConversion"/>
  </si>
  <si>
    <t>sk가스</t>
  </si>
  <si>
    <t>2022.12.15</t>
  </si>
  <si>
    <t>수정</t>
    <phoneticPr fontId="5" type="noConversion"/>
  </si>
  <si>
    <t>LNG 저장탱크 및 처리설비</t>
  </si>
  <si>
    <t xml:space="preserve"> 울산 클린에너지 복합단지 사업 추진을 위한 LNG 탱크 및 관련 설비 건설</t>
  </si>
  <si>
    <t>https://dart.fss.or.kr/dsaf001/main.do?rcpNo=20240412800714</t>
    <phoneticPr fontId="5" type="noConversion"/>
  </si>
  <si>
    <t>에이엘티</t>
    <phoneticPr fontId="5" type="noConversion"/>
  </si>
  <si>
    <t>2024.04.11</t>
    <phoneticPr fontId="5" type="noConversion"/>
  </si>
  <si>
    <t>신규시설(공장신설) 투자</t>
    <phoneticPr fontId="5" type="noConversion"/>
  </si>
  <si>
    <t>CAPA 증대를 위한 제2공장 건축</t>
    <phoneticPr fontId="5" type="noConversion"/>
  </si>
  <si>
    <t>https://dart.fss.or.kr/dsaf001/main.do?rcpNo=20240411900316</t>
    <phoneticPr fontId="5" type="noConversion"/>
  </si>
  <si>
    <t>티에스아이</t>
    <phoneticPr fontId="5" type="noConversion"/>
  </si>
  <si>
    <t>2024.04.08</t>
    <phoneticPr fontId="5" type="noConversion"/>
  </si>
  <si>
    <t>신규시설(공장신축)투자</t>
    <phoneticPr fontId="5" type="noConversion"/>
  </si>
  <si>
    <t>수주증가에 따른 생산캐파 확대</t>
    <phoneticPr fontId="5" type="noConversion"/>
  </si>
  <si>
    <t>https://dart.fss.or.kr/dsaf001/main.do?rcpNo=20240408900192</t>
    <phoneticPr fontId="5" type="noConversion"/>
  </si>
  <si>
    <t>지오엘리먼트</t>
  </si>
  <si>
    <t>2024.02.29</t>
    <phoneticPr fontId="5" type="noConversion"/>
  </si>
  <si>
    <t>2024.03.29</t>
    <phoneticPr fontId="5" type="noConversion"/>
  </si>
  <si>
    <t xml:space="preserve"> 고객수요 증대 대응 위한 생산능력 확충
증대하여 경영성과를 극대화 하고자 함.</t>
  </si>
  <si>
    <t>https://dart.fss.or.kr/dsaf001/main.do?rcpNo=20240229900615</t>
    <phoneticPr fontId="5" type="noConversion"/>
  </si>
  <si>
    <t>코스모화학</t>
  </si>
  <si>
    <t>2023.10.05</t>
  </si>
  <si>
    <t>투자기간 종료일 연장에 따른 정정</t>
    <phoneticPr fontId="5" type="noConversion"/>
  </si>
  <si>
    <t>이차전지 폐배터리 리사이클 사업</t>
  </si>
  <si>
    <t>이차전지 폐배터리내의 유가금속 회수를 통한 원료 제조 및 판매 증대</t>
  </si>
  <si>
    <t>http://dart.fss.or.kr/dsaf001/main.do?rcpNo=20240329802706</t>
    <phoneticPr fontId="5" type="noConversion"/>
  </si>
  <si>
    <t>팬오션</t>
    <phoneticPr fontId="5" type="noConversion"/>
  </si>
  <si>
    <t>2024.03.27</t>
    <phoneticPr fontId="5" type="noConversion"/>
  </si>
  <si>
    <t>MR Tanker 4척 건조</t>
    <phoneticPr fontId="5" type="noConversion"/>
  </si>
  <si>
    <t xml:space="preserve"> 선대 경쟁력 강화</t>
    <phoneticPr fontId="5" type="noConversion"/>
  </si>
  <si>
    <t>https://dart.fss.or.kr/dsaf001/main.do?rcpNo=20240327800875</t>
    <phoneticPr fontId="5" type="noConversion"/>
  </si>
  <si>
    <t>롯데웰푸드</t>
    <phoneticPr fontId="5" type="noConversion"/>
  </si>
  <si>
    <t>2024.03.21</t>
    <phoneticPr fontId="5" type="noConversion"/>
  </si>
  <si>
    <t>평택공장 및 CDC(Central Distribution Center)</t>
    <phoneticPr fontId="5" type="noConversion"/>
  </si>
  <si>
    <t>생산 및 물류 효율성 향상</t>
    <phoneticPr fontId="5" type="noConversion"/>
  </si>
  <si>
    <t>https://dart.fss.or.kr/dsaf001/main.do?rcpNo=20240321801439</t>
    <phoneticPr fontId="5" type="noConversion"/>
  </si>
  <si>
    <t>대한항공</t>
    <phoneticPr fontId="5" type="noConversion"/>
  </si>
  <si>
    <t>신규 항공기 구매 (33대)</t>
    <phoneticPr fontId="5" type="noConversion"/>
  </si>
  <si>
    <t xml:space="preserve"> 당사 장기 기재계획에 따라 경년기 교체 및 차세대 중대형 여객기 도입을 통한 중장거리 노선 경쟁력 강화</t>
    <phoneticPr fontId="5" type="noConversion"/>
  </si>
  <si>
    <t>https://dart.fss.or.kr/dsaf001/main.do?rcpNo=20240321801878</t>
    <phoneticPr fontId="5" type="noConversion"/>
  </si>
  <si>
    <t>신테카바이오</t>
    <phoneticPr fontId="5" type="noConversion"/>
  </si>
  <si>
    <t>2024.02.05</t>
    <phoneticPr fontId="5" type="noConversion"/>
  </si>
  <si>
    <t>2024.03.19</t>
    <phoneticPr fontId="5" type="noConversion"/>
  </si>
  <si>
    <t>원자재 가격 및 인건비 상승, 공사기간 연장 등에 따른 공사비 증액</t>
    <phoneticPr fontId="5" type="noConversion"/>
  </si>
  <si>
    <t>AI슈퍼컴센터 신축사업 시공 계약</t>
    <phoneticPr fontId="5" type="noConversion"/>
  </si>
  <si>
    <t>바이오가스 기반 청정수소 생산시설 설치 사업</t>
    <phoneticPr fontId="5" type="noConversion"/>
  </si>
  <si>
    <t>https://dart.fss.or.kr/dsaf001/main.do?rcpNo=20240319900541</t>
    <phoneticPr fontId="5" type="noConversion"/>
  </si>
  <si>
    <t>에코바이오</t>
    <phoneticPr fontId="5" type="noConversion"/>
  </si>
  <si>
    <t>2024.03.06</t>
    <phoneticPr fontId="5" type="noConversion"/>
  </si>
  <si>
    <t>https://dart.fss.or.kr/dsaf001/main.do?rcpNo=20240306900140</t>
    <phoneticPr fontId="5" type="noConversion"/>
  </si>
  <si>
    <t>KEC</t>
    <phoneticPr fontId="5" type="noConversion"/>
  </si>
  <si>
    <t>2024.03.05</t>
    <phoneticPr fontId="5" type="noConversion"/>
  </si>
  <si>
    <t>구미공장 생산시설 투자</t>
    <phoneticPr fontId="5" type="noConversion"/>
  </si>
  <si>
    <t>차세대 전력반도체 생산라인 증설</t>
    <phoneticPr fontId="5" type="noConversion"/>
  </si>
  <si>
    <t>https://dart.fss.or.kr/dsaf001/main.do?rcpNo=20240305800094</t>
    <phoneticPr fontId="5" type="noConversion"/>
  </si>
  <si>
    <t>하나머티리얼즈</t>
  </si>
  <si>
    <t>2023.12.15</t>
  </si>
  <si>
    <t>2024.02.28</t>
    <phoneticPr fontId="5" type="noConversion"/>
  </si>
  <si>
    <t>공사기간 연장에 따른 투자기간 변경</t>
    <phoneticPr fontId="5" type="noConversion"/>
  </si>
  <si>
    <t>공장신설</t>
  </si>
  <si>
    <t>아산 2공장 (고객수요 증대에 따른 생산능력 확충)</t>
  </si>
  <si>
    <t>https://dart.fss.or.kr/dsaf001/main.do?rcpNo=20240228900190</t>
    <phoneticPr fontId="5" type="noConversion"/>
  </si>
  <si>
    <t>에코프로머티</t>
    <phoneticPr fontId="5" type="noConversion"/>
  </si>
  <si>
    <t>공장신설 및 신규시설 투자</t>
    <phoneticPr fontId="5" type="noConversion"/>
  </si>
  <si>
    <t>전구체 제조설비 및 황산메탈 제련설비</t>
    <phoneticPr fontId="5" type="noConversion"/>
  </si>
  <si>
    <t>https://dart.fss.or.kr/dsaf001/main.do?rcpNo=20240228801357</t>
    <phoneticPr fontId="5" type="noConversion"/>
  </si>
  <si>
    <t>옵투스제약</t>
    <phoneticPr fontId="5" type="noConversion"/>
  </si>
  <si>
    <t>생산 능력 확대 및 자동화 설비 도입 등을 통한 생산 효율 증가</t>
    <phoneticPr fontId="5" type="noConversion"/>
  </si>
  <si>
    <t>https://dart.fss.or.kr/dsaf001/main.do?rcpNo=20240228900670</t>
    <phoneticPr fontId="5" type="noConversion"/>
  </si>
  <si>
    <t>탑머티리얼</t>
    <phoneticPr fontId="5" type="noConversion"/>
  </si>
  <si>
    <t>2024.02.21</t>
    <phoneticPr fontId="5" type="noConversion"/>
  </si>
  <si>
    <t xml:space="preserve"> 이차전지 LFP양극재 사업을 위한 생산시설 구축 (설비투자)</t>
    <phoneticPr fontId="5" type="noConversion"/>
  </si>
  <si>
    <t>https://dart.fss.or.kr/dsaf001/main.do?rcpNo=20240221900209</t>
    <phoneticPr fontId="5" type="noConversion"/>
  </si>
  <si>
    <t>LG이노텍</t>
    <phoneticPr fontId="5" type="noConversion"/>
  </si>
  <si>
    <t>2024.02.20</t>
    <phoneticPr fontId="5" type="noConversion"/>
  </si>
  <si>
    <t>광학솔루션 사업 신모델 대응 및 경쟁력 강화를 위한 투자</t>
    <phoneticPr fontId="5" type="noConversion"/>
  </si>
  <si>
    <t>https://dart.fss.or.kr/dsaf001/main.do?rcpNo=20240220800842</t>
    <phoneticPr fontId="5" type="noConversion"/>
  </si>
  <si>
    <t>인산가</t>
    <phoneticPr fontId="5" type="noConversion"/>
  </si>
  <si>
    <t>2024.02.15</t>
    <phoneticPr fontId="5" type="noConversion"/>
  </si>
  <si>
    <t>2024.02.19</t>
    <phoneticPr fontId="5" type="noConversion"/>
  </si>
  <si>
    <t>전기, 통신, 소방 및 건축감리 추가 계약에 따른 투자금액 변경</t>
    <phoneticPr fontId="5" type="noConversion"/>
  </si>
  <si>
    <t>신규설비투자</t>
    <phoneticPr fontId="5" type="noConversion"/>
  </si>
  <si>
    <t xml:space="preserve"> '함양 인산죽염 항노화 지역특화농공단지'내 신규생산공장 건설을 통한 생산능력확대</t>
    <phoneticPr fontId="5" type="noConversion"/>
  </si>
  <si>
    <t>https://dart.fss.or.kr/dsaf001/main.do?rcpNo=20240219900786</t>
    <phoneticPr fontId="5" type="noConversion"/>
  </si>
  <si>
    <t>새빗켐</t>
  </si>
  <si>
    <t>2024.01.19</t>
    <phoneticPr fontId="5" type="noConversion"/>
  </si>
  <si>
    <t>2024.02.16</t>
    <phoneticPr fontId="5" type="noConversion"/>
  </si>
  <si>
    <t>분리발주 공사로 인한 투자금액 및 투자기간 변경</t>
    <phoneticPr fontId="5" type="noConversion"/>
  </si>
  <si>
    <t xml:space="preserve"> 시설증설</t>
  </si>
  <si>
    <t>- 탄산리튬 신규 생산라인 구축
- 전구체복합액 생산라인 보강
- 사업확장을 통한 경쟁력 확보</t>
  </si>
  <si>
    <t>https://dart.fss.or.kr/dsaf001/main.do?rcpNo=20240216900236</t>
    <phoneticPr fontId="5" type="noConversion"/>
  </si>
  <si>
    <t>2024.02.15</t>
    <phoneticPr fontId="5" type="noConversion"/>
  </si>
  <si>
    <t>신규설비투자</t>
    <phoneticPr fontId="5" type="noConversion"/>
  </si>
  <si>
    <t>고객사 Needs에 따른 선제적 증설 투자 및 파운드리 기술 고도화</t>
    <phoneticPr fontId="5" type="noConversion"/>
  </si>
  <si>
    <t>https://dart.fss.or.kr/dsaf001/main.do?rcpNo=20240215900651</t>
    <phoneticPr fontId="5" type="noConversion"/>
  </si>
  <si>
    <t>대한항공</t>
  </si>
  <si>
    <t>2021.11.11</t>
  </si>
  <si>
    <t>2024.02.06</t>
    <phoneticPr fontId="5" type="noConversion"/>
  </si>
  <si>
    <t xml:space="preserve"> 사업기회 확대에 따른 수주물량 증가를 고려한 신규 시설 확충 및 공사기간의 연장 및 인건비/재료비 상승에 따른 시공비 증가 고려하여, 투자금액 증액과 투자기간 연장</t>
    <phoneticPr fontId="5" type="noConversion"/>
  </si>
  <si>
    <t>인천 운북지구 엔진정비공장 건립</t>
  </si>
  <si>
    <t xml:space="preserve"> 엔진 정비능력 추가확보를 통한 MRO 시장 경쟁력 강화</t>
  </si>
  <si>
    <t>http://dart.fss.or.kr/dsaf001/main.do?rcpNo=20240206800776</t>
    <phoneticPr fontId="5" type="noConversion"/>
  </si>
  <si>
    <t>한주라이트메탈</t>
    <phoneticPr fontId="5" type="noConversion"/>
  </si>
  <si>
    <t>2024.02.02</t>
    <phoneticPr fontId="5" type="noConversion"/>
  </si>
  <si>
    <t>현대자동차 EM플랫폼 대비 설비 투자</t>
    <phoneticPr fontId="5" type="noConversion"/>
  </si>
  <si>
    <t xml:space="preserve"> 2024-03-01</t>
    <phoneticPr fontId="5" type="noConversion"/>
  </si>
  <si>
    <t>http://dart.fss.or.kr/dsaf001/main.do?rcpNo=20240202901143</t>
    <phoneticPr fontId="5" type="noConversion"/>
  </si>
  <si>
    <t>후성</t>
  </si>
  <si>
    <t>2023.10.04</t>
  </si>
  <si>
    <t>2024.01.31</t>
    <phoneticPr fontId="5" type="noConversion"/>
  </si>
  <si>
    <t>동정기 공사 연장</t>
    <phoneticPr fontId="5" type="noConversion"/>
  </si>
  <si>
    <t>이차전지 전해질(LiPF6) 생산시설</t>
  </si>
  <si>
    <t xml:space="preserve"> - 글로벌 이차전지 시장 경쟁우위 확보를 위한 제품 경쟁력 강화 및 고객 수요 대응, 효과적인 해외시장 진출을 위한 기술력 검증 및 교두보 역할 기대</t>
  </si>
  <si>
    <t>https://dart.fss.or.kr/dsaf001/main.do?rcpNo=20240131800909</t>
    <phoneticPr fontId="5" type="noConversion"/>
  </si>
  <si>
    <t>대주전자재료</t>
    <phoneticPr fontId="5" type="noConversion"/>
  </si>
  <si>
    <t>이차전지용 실리콘 음극재 제조시설 확대에 따른 사무실및 복지시설 확충</t>
    <phoneticPr fontId="5" type="noConversion"/>
  </si>
  <si>
    <t>http://dart.fss.or.kr/dsaf001/main.do?rcpNo=20240131900900</t>
    <phoneticPr fontId="5" type="noConversion"/>
  </si>
  <si>
    <t>덴티스</t>
  </si>
  <si>
    <t>2023.06.01</t>
  </si>
  <si>
    <t>2024.01.30</t>
    <phoneticPr fontId="5" type="noConversion"/>
  </si>
  <si>
    <t>동절기 공사에 따른 안전사고 예방 및 대비로 인한 공사기간 연장</t>
    <phoneticPr fontId="5" type="noConversion"/>
  </si>
  <si>
    <t>신규 공장 신설</t>
  </si>
  <si>
    <t xml:space="preserve"> 사업 확장 및 생산 능력 증대를 통한 미래 성장기반 확보</t>
  </si>
  <si>
    <t>https://dart.fss.or.kr/dsaf001/main.do?rcpNo=20240130900717</t>
    <phoneticPr fontId="5" type="noConversion"/>
  </si>
  <si>
    <t>아미코젠</t>
  </si>
  <si>
    <t>2023.12.29</t>
    <phoneticPr fontId="5" type="noConversion"/>
  </si>
  <si>
    <t>예상 준공일자 변경에 따른 정정</t>
  </si>
  <si>
    <t>바이오의약품 원재료(세포배양배지) 생산 및 바이오의약품 CDMO 개발, 생산시설 투자</t>
  </si>
  <si>
    <t>http://dart.fss.or.kr/dsaf001/main.do?rcpNo=20231229900389</t>
    <phoneticPr fontId="5" type="noConversion"/>
  </si>
  <si>
    <t>2021.12.10</t>
  </si>
  <si>
    <t>2023.12.28</t>
    <phoneticPr fontId="5" type="noConversion"/>
  </si>
  <si>
    <t>신규시설 투자 완료에 따른 정정</t>
    <phoneticPr fontId="5" type="noConversion"/>
  </si>
  <si>
    <t>현대엘리베이터(주) 충주 신공장 신축공사</t>
  </si>
  <si>
    <t xml:space="preserve"> 본사 및 신공장 이전을 통한 생산 Capacity
향상 및 공정·물류 효율 개선</t>
  </si>
  <si>
    <t>http://dart.fss.or.kr/dsaf001/main.do?rcpNo=20231228800985</t>
    <phoneticPr fontId="5" type="noConversion"/>
  </si>
  <si>
    <t>율촌화학</t>
  </si>
  <si>
    <t>2022.11.01</t>
  </si>
  <si>
    <t>2023.12.28</t>
    <phoneticPr fontId="5" type="noConversion"/>
  </si>
  <si>
    <t>투자기간 변경으로 인한 정정</t>
    <phoneticPr fontId="5" type="noConversion"/>
  </si>
  <si>
    <t>LIB 제조용 Aluminum Pouch 제조설비</t>
  </si>
  <si>
    <t xml:space="preserve"> LIB 제조용 Aluminum Pouch 생산을 위한 시설증설</t>
  </si>
  <si>
    <t>https://dart.fss.or.kr/dsaf001/main.do?rcpNo=20231228800999</t>
    <phoneticPr fontId="5" type="noConversion"/>
  </si>
  <si>
    <t>두산퓨얼셀</t>
  </si>
  <si>
    <t>2021.12.21</t>
  </si>
  <si>
    <t>투자금액 및 투자기간 정정</t>
    <phoneticPr fontId="5" type="noConversion"/>
  </si>
  <si>
    <t>발전용 인산형 연료전지(PAFC) 생산설비 증설</t>
  </si>
  <si>
    <t>발전용 연료전지 시장 대응 및 성장동력 강화</t>
  </si>
  <si>
    <t>http://dart.fss.or.kr/dsaf001/main.do?rcpNo=20231228800377</t>
    <phoneticPr fontId="5" type="noConversion"/>
  </si>
  <si>
    <t>에프엔에스테크</t>
  </si>
  <si>
    <t>2023.05.10</t>
  </si>
  <si>
    <t>2023.12.22</t>
    <phoneticPr fontId="5" type="noConversion"/>
  </si>
  <si>
    <t>투자 종료 기간 변경</t>
    <phoneticPr fontId="5" type="noConversion"/>
  </si>
  <si>
    <t>8.6G IT용 OLED 투자 확대에 따른 MASK 세정 생산시설 투자</t>
  </si>
  <si>
    <t>https://dart.fss.or.kr/dsaf001/main.do?rcpNo=20231222900142</t>
    <phoneticPr fontId="5" type="noConversion"/>
  </si>
  <si>
    <t>씨앤투스성진</t>
  </si>
  <si>
    <t>2022.12.28</t>
  </si>
  <si>
    <t>투자기간 연장</t>
    <phoneticPr fontId="5" type="noConversion"/>
  </si>
  <si>
    <t>비마스크 부문 신규사업 진출을 위한 생산 CAPA 확보 및 물류시스템 내재화를 통한 원가경쟁력 제고</t>
  </si>
  <si>
    <t>https://dart.fss.or.kr/dsaf001/main.do?rcpNo=20231222900819</t>
    <phoneticPr fontId="5" type="noConversion"/>
  </si>
  <si>
    <t>에스씨엠생명과학</t>
    <phoneticPr fontId="5" type="noConversion"/>
  </si>
  <si>
    <t>2022.05.13</t>
  </si>
  <si>
    <t>2023.12.22</t>
    <phoneticPr fontId="5" type="noConversion"/>
  </si>
  <si>
    <t>대외환경 변화(원자재 가격 및 인건비 상승 등)에 따른 투자금액 증가 및 투자기간 연장</t>
    <phoneticPr fontId="5" type="noConversion"/>
  </si>
  <si>
    <t>cGMP시설의 신축</t>
  </si>
  <si>
    <t>https://dart.fss.or.kr/dsaf001/main.do?rcpNo=20231222900303</t>
    <phoneticPr fontId="5" type="noConversion"/>
  </si>
  <si>
    <t>에스디바이오센서</t>
  </si>
  <si>
    <t>2022.03.29</t>
  </si>
  <si>
    <t>2023.12.20</t>
    <phoneticPr fontId="5" type="noConversion"/>
  </si>
  <si>
    <t>별도공장의 신설</t>
  </si>
  <si>
    <t>충청북도 증평부지 생산공장</t>
  </si>
  <si>
    <t>https://dart.fss.or.kr/dsaf001/main.do?rcpNo=20220329801355</t>
  </si>
  <si>
    <t>케이씨씨글라스</t>
    <phoneticPr fontId="5" type="noConversion"/>
  </si>
  <si>
    <t>2023.12.20</t>
    <phoneticPr fontId="5" type="noConversion"/>
  </si>
  <si>
    <t>설비투자 및 공장 건물 증축</t>
    <phoneticPr fontId="5" type="noConversion"/>
  </si>
  <si>
    <t>시설투자를 통한 생산 효율성 증대 및 경쟁력 향상</t>
    <phoneticPr fontId="5" type="noConversion"/>
  </si>
  <si>
    <t>https://dart.fss.or.kr/dsaf001/main.do?rcpNo=20231220800591</t>
    <phoneticPr fontId="5" type="noConversion"/>
  </si>
  <si>
    <t>SK온</t>
    <phoneticPr fontId="5" type="noConversion"/>
  </si>
  <si>
    <t>SK온 서산2동 및 서산3동</t>
    <phoneticPr fontId="5" type="noConversion"/>
  </si>
  <si>
    <t>신규 수주 대응을 위한 시설 투자</t>
    <phoneticPr fontId="5" type="noConversion"/>
  </si>
  <si>
    <t>https://dart.fss.or.kr/dsaf001/main.do?rcpNo=20231220800249</t>
    <phoneticPr fontId="5" type="noConversion"/>
  </si>
  <si>
    <t>한국석유공업</t>
  </si>
  <si>
    <t>2023.12.19</t>
  </si>
  <si>
    <t>공장 신설 및 시설투자</t>
  </si>
  <si>
    <t>신규 설비 도입으로 생산 효율화 및 품질 향상</t>
  </si>
  <si>
    <t>https://dart.fss.or.kr/dsaf001/main.do?rcpNo=20231219800470</t>
  </si>
  <si>
    <t>한국수출포장공업</t>
  </si>
  <si>
    <t>2020.12.29</t>
  </si>
  <si>
    <t>투자 종료 기간 변경</t>
  </si>
  <si>
    <t>골판지 및 골판지상자 생산 공장</t>
  </si>
  <si>
    <t>중부권 생산 증설을 통한 경쟁력 확보</t>
  </si>
  <si>
    <t>http://dart.fss.or.kr/dsaf001/main.do?rcpNo=20231219800363</t>
  </si>
  <si>
    <t>샘씨엔에스</t>
  </si>
  <si>
    <t>2022.07.25</t>
  </si>
  <si>
    <t>투자금액 변경 및 투자기간 연장에 따른 정정</t>
  </si>
  <si>
    <t>메모리/비메모리 반도체용 세라믹 STF  수요 증대에 따른 생산 CAPA 확대 및 신사업 진출을 위한 인프라 구축</t>
  </si>
  <si>
    <t>https://dart.fss.or.kr/dsaf001/main.do?rcpNo=20231215900169</t>
  </si>
  <si>
    <t>한온시스템</t>
  </si>
  <si>
    <t>테네시 등 북미 사업장</t>
  </si>
  <si>
    <t>주요고객 전기차 전용 프로그램 양산</t>
  </si>
  <si>
    <t>-</t>
  </si>
  <si>
    <t>https://dart.fss.or.kr/dsaf001/main.do?rcpNo=20231215801103</t>
  </si>
  <si>
    <t>2023.12.13</t>
  </si>
  <si>
    <t>중저압차단기 스마트팩토리</t>
  </si>
  <si>
    <t>자동화를 통한 제조경쟁력 강화로 시장점유율 확대</t>
  </si>
  <si>
    <t>https://dart.fss.or.kr/dsaf001/main.do?rcpNo=20231213800247</t>
  </si>
  <si>
    <t>성일하이텍</t>
  </si>
  <si>
    <t>2022.09.13</t>
  </si>
  <si>
    <t>2023.12.11</t>
  </si>
  <si>
    <t>일부 계약확정 및 대외환경변화(물가 상승 등)에 따른 투자금액 변경</t>
  </si>
  <si>
    <t xml:space="preserve"> 이차전지 리사이클링 시장 성장대응과 생산능력 확보
증대하여 경영성과를 극대화 하고자 함.</t>
  </si>
  <si>
    <t>https://dart.fss.or.kr/dsaf001/main.do?rcpNo=20231211900744</t>
  </si>
  <si>
    <t>lig넥스원</t>
  </si>
  <si>
    <t>2023.12.08</t>
  </si>
  <si>
    <t>위성/레이저 체계조립 시설</t>
  </si>
  <si>
    <t xml:space="preserve"> 당사의 위성과 레이저 분야 기술역량 강화와 중장기 관련사업 대응을 위해 당사 대전하우스 부지 내 신규 체계조립동을 건구축하고자 함.</t>
  </si>
  <si>
    <t>https://dart.fss.or.kr/dsaf001/main.do?rcpNo=20231208800371</t>
  </si>
  <si>
    <t>오뚜기</t>
  </si>
  <si>
    <t>(주)오뚜기 안양 도시형 공장 신설</t>
  </si>
  <si>
    <t>안양공장 부지내 노후화된 공장 건물을 신규 건물(도시형 공장)로 신축하고자 함</t>
  </si>
  <si>
    <t>https://dart.fss.or.kr/dsaf001/main.do?rcpNo=20231208800240</t>
  </si>
  <si>
    <t>현대건설기계</t>
  </si>
  <si>
    <t>2021.12.14</t>
  </si>
  <si>
    <t>2023.12.07</t>
  </si>
  <si>
    <t xml:space="preserve">  투자대상 확대 및 대외환경 변화(원자재 가격 상승 등)</t>
  </si>
  <si>
    <t>울산공장</t>
  </si>
  <si>
    <t>울산공장 전면 재편을 통해 글로벌 최고 수준으로 생산 효율성을 증대하고 생산능력을 확충함</t>
  </si>
  <si>
    <t>http://dart.fss.or.kr/dsaf001/main.do?rcpNo=20231207800553</t>
  </si>
  <si>
    <t>bgf리테일</t>
  </si>
  <si>
    <t>부산 신규 물류센터</t>
  </si>
  <si>
    <t>지속 성장을 위한 물류 CAPA 확보 및 운영 효율 증대</t>
  </si>
  <si>
    <t>https://dart.fss.or.kr/dsaf001/main.do?rcpNo=20231207800487</t>
  </si>
  <si>
    <t>롯데칠성음료</t>
  </si>
  <si>
    <t>2023.12.06</t>
  </si>
  <si>
    <t>대전 물류(수송)거점센터 구축</t>
  </si>
  <si>
    <t>https://dart.fss.or.kr/dsaf001/main.do?rcpNo=20231206800290</t>
  </si>
  <si>
    <t>천안 빙과공장</t>
  </si>
  <si>
    <t>생산 및 물류 효율성 향상</t>
  </si>
  <si>
    <t>https://dart.fss.or.kr/dsaf001/main.do?rcpNo=20231206800413</t>
  </si>
  <si>
    <t>HPSP</t>
  </si>
  <si>
    <t>2022.12.13</t>
  </si>
  <si>
    <t>2023.11.30</t>
  </si>
  <si>
    <t>신규시설투자(공장 신축)</t>
  </si>
  <si>
    <t xml:space="preserve"> -.생산능력 제고
-.국내 연구개발 시설 설립을 통한 R&amp;D
   역량확보 및 지속 성장 인프라 구축</t>
  </si>
  <si>
    <t>https://dart.fss.or.kr/dsaf001/main.do?rcpNo=20231130900719</t>
  </si>
  <si>
    <t>이수스페셜티케미컬</t>
  </si>
  <si>
    <t>2023.11.27</t>
  </si>
  <si>
    <t>Li2S 데모플랜트 증설</t>
  </si>
  <si>
    <t>고객수요 대응 및 최적화 공법 적용</t>
  </si>
  <si>
    <t>https://dart.fss.or.kr/dsaf001/main.do?rcpNo=20231127800265</t>
  </si>
  <si>
    <t>TDM 증설</t>
  </si>
  <si>
    <t>고객 증설계획에 따른 TDM 수요증가 대응</t>
  </si>
  <si>
    <t>https://dart.fss.or.kr/dsaf001/main.do?rcpNo=20231127800266</t>
  </si>
  <si>
    <t>빅솔론</t>
  </si>
  <si>
    <t>2022.11.10</t>
  </si>
  <si>
    <t>2023.11.23</t>
  </si>
  <si>
    <t>설계변경에 따른 공사기간 및 투자 금액 변경</t>
  </si>
  <si>
    <t>신규 공장 건설을 통한 장기 성장 동력 확보
(건물 완공 후 생산능력 증대를 위한 생산설비 확충 예정)</t>
  </si>
  <si>
    <t>https://dart.fss.or.kr/dsaf001/main.do?rcpNo=20231123900370</t>
  </si>
  <si>
    <t>나노팀</t>
  </si>
  <si>
    <t>2023.11.21</t>
  </si>
  <si>
    <t>열폭주차단패드 생산</t>
  </si>
  <si>
    <t>https://dart.fss.or.kr/dsaf001/main.do?rcpNo=20231121900120</t>
  </si>
  <si>
    <t>친환경 생산 설비(케미칼)</t>
  </si>
  <si>
    <t xml:space="preserve"> 친환경사업 확대 및 수입용제 국산화를 통한 국내외 용제 수요 대응</t>
  </si>
  <si>
    <t>https://dart.fss.or.kr/dsaf001/main.do?rcpNo=20231121800089</t>
  </si>
  <si>
    <t>세아메카닉스</t>
  </si>
  <si>
    <t>2023.02.24</t>
  </si>
  <si>
    <t>2023.11.17</t>
  </si>
  <si>
    <t>일부 계약확정에 따른 투자금액 변경</t>
  </si>
  <si>
    <t>신규시설투자(건물,시설물,설비등)</t>
  </si>
  <si>
    <t>수주증대에 따른 생산시설 확보</t>
  </si>
  <si>
    <t>https://dart.fss.or.kr/dsaf001/main.do?rcpNo=20231117900056</t>
  </si>
  <si>
    <t>켐트로닉스</t>
  </si>
  <si>
    <t>2023.11.16</t>
  </si>
  <si>
    <t>신규 시설투자(건축, 설비)</t>
  </si>
  <si>
    <t>대형식각 관련 신규시설(건축, 설비) 추가 투자</t>
  </si>
  <si>
    <t>https://dart.fss.or.kr/dsaf001/main.do?rcpNo=20231116900112</t>
  </si>
  <si>
    <t>한일현대시멘트</t>
  </si>
  <si>
    <t>2022.06.28</t>
  </si>
  <si>
    <t>2023.11.14</t>
  </si>
  <si>
    <t>투자기간 변동</t>
  </si>
  <si>
    <t>영월공장 ECO발전 설비 설치</t>
  </si>
  <si>
    <t xml:space="preserve"> 전력비 절감을 통한 원가절감
[시멘트 반제품인 Clinker 소성을 위해 사용된 고온의 열(1,450℃)중 남은 열(300~350℃)을 이용, 전기를 생산하여 공장전력 대체 사용]</t>
  </si>
  <si>
    <t>https://dart.fss.or.kr/dsaf001/main.do?rcpNo=20231114801990</t>
  </si>
  <si>
    <t>2023.11.07</t>
  </si>
  <si>
    <t>반도체급 제품 합성 및 정제 설비 추가 투자</t>
  </si>
  <si>
    <t>https://dart.fss.or.kr/dsaf001/main.do?rcpNo=20231107900205</t>
  </si>
  <si>
    <t>에프에스티</t>
  </si>
  <si>
    <t>2023.11.02</t>
  </si>
  <si>
    <t>펠리클 생산 능력 확대</t>
  </si>
  <si>
    <t>https://dart.fss.or.kr/dsaf001/main.do?rcpNo=20231102900233</t>
  </si>
  <si>
    <t>우진플라임</t>
  </si>
  <si>
    <t>2023.09.25</t>
  </si>
  <si>
    <t>2023.10.31</t>
  </si>
  <si>
    <t>투자기간 정정</t>
  </si>
  <si>
    <t>바렐/스크류 공장 및 테크니컬 센터 시설 증설</t>
  </si>
  <si>
    <t>내제화 확대로 생산성을 향상하고 원가경쟁력을
증대하여 경영성과를 극대화 하고자 함.</t>
  </si>
  <si>
    <t>https://dart.fss.or.kr/dsaf001/main.do?rcpNo=20230925800089</t>
  </si>
  <si>
    <t>2023.10.30</t>
  </si>
  <si>
    <t>신규 항공기 구매 (20대)</t>
  </si>
  <si>
    <t xml:space="preserve"> 당사 장기 기재계획에 따라 기존 소형기를 차세대 항공기로 교체 및 노선 수요 증가에 대비</t>
  </si>
  <si>
    <t>https://dart.fss.or.kr/dsaf001/main.do?rcpNo=20231030800642</t>
  </si>
  <si>
    <t>원익 QNC</t>
  </si>
  <si>
    <t>2023.05.31</t>
  </si>
  <si>
    <t>2023.10.27</t>
  </si>
  <si>
    <t>기간변경</t>
  </si>
  <si>
    <t>쿼츠제조공장 증설</t>
  </si>
  <si>
    <t>https://dart.fss.or.kr/dsaf001/main.do?rcpNo=20231027900625</t>
  </si>
  <si>
    <t>엘에스엠앤엠㈜ EV배터리 소재 사업 관련 시설</t>
  </si>
  <si>
    <t>EV배터리 소재 사업진출을 위한 설비 및 건설 투자</t>
  </si>
  <si>
    <t>https://dart.fss.or.kr/dsaf001/main.do?rcpNo=20231027800211</t>
  </si>
  <si>
    <t>현대글로비스</t>
  </si>
  <si>
    <t>2023.10.26</t>
  </si>
  <si>
    <t xml:space="preserve"> 10,800RT급 LNG DF 자동차선 12척 선대 확보</t>
  </si>
  <si>
    <t xml:space="preserve"> 중장기 선대 운영 안정화 및 국제 환경규제 강화 대응을 위한 LNG 이중연료(Dual Fuel) 추진엔진 선대 확보</t>
  </si>
  <si>
    <t>https://dart.fss.or.kr/dsaf001/main.do?rcpNo=20231026800363</t>
  </si>
  <si>
    <t>2023.10.23</t>
  </si>
  <si>
    <t>1. 지속 성장을 위한 공급 Capa' 추가 확보
2. 자동화 혁신을 통한 원가경쟁력 확보</t>
  </si>
  <si>
    <t>https://dart.fss.or.kr/dsaf001/main.do?rcpNo=20231023900376</t>
  </si>
  <si>
    <t>2023.10.20</t>
  </si>
  <si>
    <t>메타아라미드 페이퍼생산을 위한 양산라인의 헤드박스 및 와이어 파트, 프레스파트의 설비 제작</t>
  </si>
  <si>
    <t>https://dart.fss.or.kr/dsaf001/main.do?rcpNo=20231020900208</t>
  </si>
  <si>
    <t>디케이티</t>
  </si>
  <si>
    <t>2023.10.16</t>
  </si>
  <si>
    <t xml:space="preserve"> 신규고객사 및 ESS등 제품 포트폴리오 다변화 대응을 위한 생산시설 확보</t>
  </si>
  <si>
    <t>https://dart.fss.or.kr/dsaf001/main.do?rcpNo=20231016900102</t>
  </si>
  <si>
    <t>뷰웍스</t>
  </si>
  <si>
    <t>2023.10.11</t>
  </si>
  <si>
    <t>화성사업장 증축</t>
  </si>
  <si>
    <t>생산능력확대</t>
  </si>
  <si>
    <t>https://dart.fss.or.kr/dsaf001/main.do?rcpNo=20231011900326</t>
  </si>
  <si>
    <t>비에이치</t>
  </si>
  <si>
    <t>2023.10.10</t>
  </si>
  <si>
    <t>베트남 빈푹성 빈옌시</t>
  </si>
  <si>
    <t xml:space="preserve"> - 북미향 및 글로벌 완성차 OEM 고객사 물량 확대,
   OLED 제품 다변화에 따른 생산시설 확보</t>
  </si>
  <si>
    <t>https://dart.fss.or.kr/dsaf001/main.do?rcpNo=20231010800111</t>
  </si>
  <si>
    <t>금양</t>
  </si>
  <si>
    <t>이차전지 기장공장 생산설비</t>
  </si>
  <si>
    <t xml:space="preserve"> 46계열 및 21700 원통형 배터리 대량생산을 통한 이차전지 매출 증대</t>
  </si>
  <si>
    <t>https://dart.fss.or.kr/dsaf001/main.do?rcpNo=20231005800196</t>
  </si>
  <si>
    <t>2023.05.02</t>
  </si>
  <si>
    <t>2023.09.27</t>
  </si>
  <si>
    <t>QD9+(합성쿼츠 국산화 소재) 양산 설비 증설</t>
  </si>
  <si>
    <t>https://dart.fss.or.kr/dsaf001/main.do?rcpNo=20230927900366</t>
  </si>
  <si>
    <t>2023.04.17</t>
  </si>
  <si>
    <t>이차전지 장비 전용 공장건축 및 생산설비 투자</t>
  </si>
  <si>
    <t>https://dart.fss.or.kr/dsaf001/main.do?rcpNo=20230927900800</t>
  </si>
  <si>
    <t>코오롱인더</t>
  </si>
  <si>
    <t>2021.06.24</t>
  </si>
  <si>
    <t>구미공장 아라미드 생산라인 증설</t>
  </si>
  <si>
    <t>5G 케이블용 및 초고성능 타이어용 아라미드 수요증가에 따른 증설</t>
  </si>
  <si>
    <t>http://dart.fss.or.kr/dsaf001/main.do?rcpNo=20230926800477</t>
  </si>
  <si>
    <t>-탄산리튬 신규 생산라인 구축
-사업확장을 통한 경쟁력 확보</t>
  </si>
  <si>
    <t>https://dart.fss.or.kr/dsaf001/main.do?rcpNo=20230926900314</t>
  </si>
  <si>
    <t>콜마비앤에이치</t>
  </si>
  <si>
    <t>2022.07.20</t>
  </si>
  <si>
    <t>2023.09.14</t>
  </si>
  <si>
    <t>투자금액 및 투자 종료일 변경</t>
  </si>
  <si>
    <t>건강기능식품 제조공장 신설을 통한 생산능력 증대 및 사업 경쟁력 강화</t>
  </si>
  <si>
    <t>https://dart.fss.or.kr/dsaf001/main.do?rcpNo=20230914900223</t>
  </si>
  <si>
    <t>2023.01.02</t>
  </si>
  <si>
    <t>건축면적 증가에 따른 공사금액및 공사기간 변경</t>
  </si>
  <si>
    <t>이차전지용 실리콘 음극재 공장동 추가신축</t>
  </si>
  <si>
    <t>https://dart.fss.or.kr/dsaf001/main.do?rcpNo=20230914900106</t>
  </si>
  <si>
    <t>파미셀</t>
  </si>
  <si>
    <t>2023.09.12</t>
  </si>
  <si>
    <t>성남 줄기세포치료제 GMP 제2공장 증설</t>
  </si>
  <si>
    <t xml:space="preserve"> 줄기세포치료제의 생산능력 증대 및 다양한 종류의 세포치료제 제조</t>
  </si>
  <si>
    <t>https://dart.fss.or.kr/dsaf001/main.do?rcpNo=20230912800112</t>
  </si>
  <si>
    <t>효성첨단소재</t>
  </si>
  <si>
    <t>2023.09.11</t>
  </si>
  <si>
    <t>전주공장 탄소섬유 생산라인 증설</t>
  </si>
  <si>
    <t xml:space="preserve"> 친환경 정책 관련 CNG, 수소 등 고압용기 및
신재생에너지 채택 증가에 따른 태양광 소재 등
글로벌 탄소섬유 수요증가에 따른 증설</t>
  </si>
  <si>
    <t>https://dart.fss.or.kr/dsaf001/main.do?rcpNo=20230908800166</t>
  </si>
  <si>
    <t>2023.09.08</t>
  </si>
  <si>
    <t xml:space="preserve"> 초고압변압기 공장 증설</t>
  </si>
  <si>
    <t>국내외 변압기 수요 증가에 대응한 생산설비 증설</t>
  </si>
  <si>
    <t>레이크머티리얼즈</t>
  </si>
  <si>
    <t>2023.02.28</t>
  </si>
  <si>
    <t>2023.09.06</t>
  </si>
  <si>
    <t>설계변경으로 인한 지연</t>
  </si>
  <si>
    <t>시설투자 등</t>
  </si>
  <si>
    <t>반도체소재(High-K 전구체) 설비 증설</t>
  </si>
  <si>
    <t>https://dart.fss.or.kr/dsaf001/main.do?rcpNo=20230228900646</t>
  </si>
  <si>
    <t xml:space="preserve"> 신규 공장 Capa(TMA) 증설 및 인프라 구축</t>
  </si>
  <si>
    <t>https://dart.fss.or.kr/dsaf001/main.do?rcpNo=20230906900266</t>
  </si>
  <si>
    <t>대보마그네틱</t>
  </si>
  <si>
    <t>2023.06.30</t>
  </si>
  <si>
    <t>2023.08.31</t>
  </si>
  <si>
    <t>계약기간 연장</t>
  </si>
  <si>
    <t>음성공장 설비투자</t>
  </si>
  <si>
    <t>2차전지용 소재 임가공을 위한 설비 추가투자</t>
  </si>
  <si>
    <t>https://dart.fss.or.kr/dsaf001/main.do?rcpNo=20230831900314</t>
  </si>
  <si>
    <t>투자금액 정정</t>
  </si>
  <si>
    <t xml:space="preserve"> 2차전지용 소재 임가공을 위한 공장 및 설비 추가투자</t>
  </si>
  <si>
    <t>https://dart.fss.or.kr/dsaf001/main.do?rcpNo=20230831900321</t>
  </si>
  <si>
    <t>2023.08.29</t>
  </si>
  <si>
    <t xml:space="preserve"> 이차전지용 실리콘 음극재 제조시설 확대에 따른 설비구매</t>
  </si>
  <si>
    <t>https://dart.fss.or.kr/dsaf001/main.do?rcpNo=20230829900429</t>
  </si>
  <si>
    <t>동부산 E-PARK 산업단지 이차전지 공장</t>
  </si>
  <si>
    <t>4680 및 21700 원통형 배터리 대량생산을 통한 이차전지 매출 증대</t>
  </si>
  <si>
    <t>https://dart.fss.or.kr/dsaf001/main.do?rcpNo=20230829800134</t>
  </si>
  <si>
    <t>와이오엠</t>
  </si>
  <si>
    <t>2023.08.23</t>
  </si>
  <si>
    <t>본사 이전에 따른 신규 공장 건설</t>
  </si>
  <si>
    <t>https://dart.fss.or.kr/dsaf001/main.do?rcpNo=20230823900103</t>
  </si>
  <si>
    <t>2022.08.23</t>
  </si>
  <si>
    <t>2023.08.22</t>
  </si>
  <si>
    <t>동절기 및 설계변경지연으로 인한 공사 연장</t>
  </si>
  <si>
    <t xml:space="preserve"> 시설투자 등</t>
  </si>
  <si>
    <t>연구소 신축, Capa 증설 및 기타 인프라 구축</t>
  </si>
  <si>
    <t>https://dart.fss.or.kr/dsaf001/main.do?rcpNo=20230822900186</t>
  </si>
  <si>
    <t>2023.08.18</t>
  </si>
  <si>
    <t>이차전지 폐배터리 리사이클 생산설비</t>
  </si>
  <si>
    <t>이차전지 폐배터리내의 유가금속 회수를 통한 원료 제조 및 판매 사업 확대</t>
  </si>
  <si>
    <t>https://dart.fss.or.kr/dsaf001/main.do?rcpNo=20230818800257</t>
  </si>
  <si>
    <t>일양약품</t>
  </si>
  <si>
    <t>2023.08.11</t>
  </si>
  <si>
    <t>음성 인플루엔자 백신공장 완제라인</t>
  </si>
  <si>
    <t>백신 완제라인 증축을 통한 원가 경쟁력 확보</t>
  </si>
  <si>
    <t>https://dart.fss.or.kr/dsaf001/main.do?rcpNo=20230811801212</t>
  </si>
  <si>
    <t>삼양패키징</t>
  </si>
  <si>
    <t>2023.06.29</t>
  </si>
  <si>
    <t>2023.08.10</t>
  </si>
  <si>
    <t>단순오기 정정</t>
  </si>
  <si>
    <t>아셉틱 라인 6호기</t>
  </si>
  <si>
    <t xml:space="preserve"> 국내 Aseptic 음료 시장 성장에 따른 생산 Capa 증가를 통한 시장 선점</t>
  </si>
  <si>
    <t>https://dart.fss.or.kr/dsaf001/main.do?rcpNo=20230810800444</t>
  </si>
  <si>
    <t>해저케이블 생산 공장</t>
  </si>
  <si>
    <t>https://dart.fss.or.kr/dsaf001/main.do?rcpNo=20230810800418</t>
  </si>
  <si>
    <t>SPC삼립</t>
  </si>
  <si>
    <t>2023.08.08</t>
  </si>
  <si>
    <t>시화공장 내 시설증설</t>
  </si>
  <si>
    <t xml:space="preserve"> 지속 성장 위한 공급 CAPA 추가 확보 및 자동화 혁신 통한 원가 경쟁력 확보</t>
  </si>
  <si>
    <t>https://dart.fss.or.kr/dsaf001/main.do?rcpNo=20230808800502</t>
  </si>
  <si>
    <t>깨끗한나라</t>
  </si>
  <si>
    <t>재생에너지사업 준비 및 에너지효율증대</t>
  </si>
  <si>
    <t>https://dart.fss.or.kr/dsaf001/main.do?rcpNo=20230808800263</t>
  </si>
  <si>
    <t>제이아이테크</t>
  </si>
  <si>
    <t>새만금부지 3공장 신설</t>
  </si>
  <si>
    <t>https://dart.fss.or.kr/dsaf001/main.do?rcpNo=20230808900194</t>
  </si>
  <si>
    <t>미원화학</t>
  </si>
  <si>
    <t>2022.04.13</t>
  </si>
  <si>
    <t>2023.07.31</t>
  </si>
  <si>
    <t>탄천공장 계면활성제 생산설비</t>
  </si>
  <si>
    <t>계면활성제 생산설비 증설</t>
  </si>
  <si>
    <t>https://dart.fss.or.kr/dsaf001/main.do?rcpNo=20220414800674</t>
  </si>
  <si>
    <t>2023.06.26</t>
  </si>
  <si>
    <t>2023.07.28</t>
  </si>
  <si>
    <t>기재오류</t>
  </si>
  <si>
    <t>2차전지 캔 신공장 신축공사</t>
  </si>
  <si>
    <t xml:space="preserve"> 2차전지 캔 생산을 위한 신공장 건설 및 설비투자</t>
  </si>
  <si>
    <t>https://dart.fss.or.kr/dsaf001/main.do?rcpNo=20230626800279</t>
  </si>
  <si>
    <t xml:space="preserve"> 기장 이차전지 공장 21700 양/음극 방식 Coater 설비</t>
  </si>
  <si>
    <t>기장 이차전지 공장 내 이차전지 양산 설비 구축</t>
  </si>
  <si>
    <t>https://dart.fss.or.kr/dsaf001/main.do?rcpNo=20230728800446</t>
  </si>
  <si>
    <t>2023.02.27</t>
  </si>
  <si>
    <t>2023.07.25</t>
  </si>
  <si>
    <t>건축 설계 변경에 따른 기간 증가</t>
  </si>
  <si>
    <t>국내외 위성사업 수요 증가에 대응하기 위한 사업수행과 개발역량 확대</t>
  </si>
  <si>
    <t>https://dart.fss.or.kr/dsaf001/main.do?rcpNo=20230725900226</t>
  </si>
  <si>
    <t>녹십자엠에스</t>
  </si>
  <si>
    <t>2023.07.24</t>
  </si>
  <si>
    <t>파우더형 혈액투석제품 생산공장 증축</t>
  </si>
  <si>
    <t>https://dart.fss.or.kr/dsaf001/main.do?rcpNo=20230724900532</t>
  </si>
  <si>
    <t>양극재 제조설비</t>
  </si>
  <si>
    <t xml:space="preserve"> EV 배터리용 하이니켈계 NCA 양극소재 공급을 위한 시설 투자</t>
  </si>
  <si>
    <t>https://dart.fss.or.kr/dsaf001/main.do?rcpNo=20230724800112</t>
  </si>
  <si>
    <t>석경에이티</t>
  </si>
  <si>
    <t>2023.07.21</t>
  </si>
  <si>
    <t xml:space="preserve"> 기존제품 생산능력 확대 및 신제품 생산시설 마련을 통한 경쟁력 제고</t>
  </si>
  <si>
    <t>https://dart.fss.or.kr/dsaf001/main.do?rcpNo=20230721900254</t>
  </si>
  <si>
    <t>삼아알미늄</t>
  </si>
  <si>
    <t>2023.07.13</t>
  </si>
  <si>
    <t xml:space="preserve"> Cold Mill Line 등 신규투자</t>
  </si>
  <si>
    <t>https://dart.fss.or.kr/dsaf001/main.do?rcpNo=20230713800169</t>
  </si>
  <si>
    <t>케이엔제이</t>
  </si>
  <si>
    <t>2023.07.03</t>
  </si>
  <si>
    <t>생산시설 증설투자</t>
  </si>
  <si>
    <t xml:space="preserve"> 반도체공정용 소재/부품 관련 증설투자
[CVD SiC Focus Ring 외]</t>
  </si>
  <si>
    <t>https://dart.fss.or.kr/dsaf001/main.do?rcpNo=20230703900148</t>
  </si>
  <si>
    <t>덕산테코피아</t>
  </si>
  <si>
    <t>투자금액 변경</t>
  </si>
  <si>
    <t xml:space="preserve"> VC, FEC 전용 2차전지 전해액 첨가제 생산시설 신축공사</t>
  </si>
  <si>
    <t>https://dart.fss.or.kr/dsaf001/main.do?rcpNo=20230630900604</t>
  </si>
  <si>
    <t>SK렌터카</t>
  </si>
  <si>
    <t>투자기간 변경</t>
  </si>
  <si>
    <t>제주도 내 전기차 전용 단지 구축</t>
  </si>
  <si>
    <t xml:space="preserve"> - 전기차 시장 성장에 대한 대응 및 전기차 렌탈 시장 
 - 선도 ESG 경영 추구
(전기차 운영 등을 통한 환경친화사업 추구)</t>
  </si>
  <si>
    <t>https://dart.fss.or.kr/dsaf001/main.do?rcpNo=20230630800338</t>
  </si>
  <si>
    <t>진양화학</t>
  </si>
  <si>
    <t>2023.04.25</t>
  </si>
  <si>
    <t>공장건물 증축 및 설비투자</t>
  </si>
  <si>
    <t>시설투자를 통한 생산 효율성 증대 및 경쟁력 확보</t>
  </si>
  <si>
    <t>https://dart.fss.or.kr/dsaf001/main.do?rcpNo=20230629800326</t>
  </si>
  <si>
    <t>용인 반도체 클러스터 내 스마트팩토리 구축 및 경쟁력 제고</t>
  </si>
  <si>
    <t>https://dart.fss.or.kr/dsaf001/main.do?rcpNo=20230629900584</t>
  </si>
  <si>
    <t>양산라인의 후가공 설비 제작</t>
  </si>
  <si>
    <t>https://dart.fss.or.kr/dsaf001/main.do?rcpNo=20230626900174</t>
  </si>
  <si>
    <t>구미신사업장건설</t>
  </si>
  <si>
    <t>중장기 생산 능력 확보</t>
  </si>
  <si>
    <t>https://dart.fss.or.kr/dsaf001/main.do?rcpNo=20230626800094</t>
  </si>
  <si>
    <t>KH바텍</t>
  </si>
  <si>
    <t>2023.06.20</t>
  </si>
  <si>
    <t>자동차 사업 수주 증대에 따른 캐파증설</t>
  </si>
  <si>
    <t>https://dart.fss.or.kr/dsaf001/main.do?rcpNo=20230620900425</t>
  </si>
  <si>
    <t>구영테크</t>
  </si>
  <si>
    <t>2023.06.14</t>
  </si>
  <si>
    <t>신규시설투자(별도공장의 신설)</t>
  </si>
  <si>
    <t>신규수주증대 및 전기차용 배터리 팩 어퍼 케이스 수주에 따른 신규 공장 설립</t>
  </si>
  <si>
    <t>https://dart.fss.or.kr/dsaf001/main.do?rcpNo=20230614900137</t>
  </si>
  <si>
    <t>코스모신소재</t>
  </si>
  <si>
    <t>2021.07.19</t>
  </si>
  <si>
    <t>2023.06.12</t>
  </si>
  <si>
    <t>투자금액 및 투자기간 변경</t>
  </si>
  <si>
    <t>양극활물질(NCM) 신규증설</t>
  </si>
  <si>
    <t>양극활물질(NCM) 설비 증설을 통한 매출 증대</t>
  </si>
  <si>
    <t>http://dart.fss.or.kr/dsaf001/main.do?rcpNo=20230612800214</t>
  </si>
  <si>
    <t>2023.01.26</t>
  </si>
  <si>
    <t>2023.06.09</t>
  </si>
  <si>
    <t>용지면적 확정(용지 면적,투자금액 증가)</t>
  </si>
  <si>
    <t>이차전지용 실리콘 음극재, 원재료 및 연관 소재 생산 부지 확보</t>
  </si>
  <si>
    <t>https://dart.fss.or.kr/dsaf001/main.do?rcpNo=20230609900253</t>
  </si>
  <si>
    <t>디알젬</t>
  </si>
  <si>
    <t>2023.03.21</t>
  </si>
  <si>
    <t>투자금액 및 투자기간 종료일 변경</t>
  </si>
  <si>
    <t>신규시설(공장신축)투자</t>
  </si>
  <si>
    <t>공장신축을 통한 생산캐파 확대로 글로벌 기업으로서의 입지 강화</t>
  </si>
  <si>
    <t>https://dart.fss.or.kr/dsaf001/main.do?rcpNo=20230609900372</t>
  </si>
  <si>
    <t>씨앤씨인터내셔널</t>
  </si>
  <si>
    <t>그린카운티(국내 제2공장) 증축</t>
  </si>
  <si>
    <t xml:space="preserve"> 색조화장품 주문량 증가에 따른 생산 CAPA 확대 및 장기적 성장을 위한 인프라 구축</t>
  </si>
  <si>
    <t>https://dart.fss.or.kr/dsaf001/main.do?rcpNo=20230609900259</t>
  </si>
  <si>
    <t>에스코넥</t>
  </si>
  <si>
    <t>2023.04.28</t>
  </si>
  <si>
    <t>2023.06.08</t>
  </si>
  <si>
    <t>투자기간 연장</t>
  </si>
  <si>
    <t xml:space="preserve"> 2차전지 생산설비 구매 및 생산CAPA 확보와 생산성향상</t>
  </si>
  <si>
    <t>https://dart.fss.or.kr/dsaf001/main.do?rcpNo=20230608900393</t>
  </si>
  <si>
    <t>이엔플러스</t>
  </si>
  <si>
    <t>2차 전지 조립동 증축 및 생산설비 증설 등</t>
  </si>
  <si>
    <t>세파 항생제 전용 공장 건설</t>
  </si>
  <si>
    <t>https://dart.fss.or.kr/dsaf001/main.do?rcpNo=20230608800258</t>
  </si>
  <si>
    <t>대웅</t>
  </si>
  <si>
    <t>대웅바이오 자회사 공장신설</t>
  </si>
  <si>
    <t>https://dart.fss.or.kr/dsaf001/main.do?rcpNo=20230607800434</t>
  </si>
  <si>
    <t>2023.03.17</t>
  </si>
  <si>
    <t>투자종료일변경</t>
  </si>
  <si>
    <t>송도 제2바이오캠퍼스 내 5공장 신설</t>
  </si>
  <si>
    <t>바이오의약품 생산 시설 확대를 통한 경쟁력 강화</t>
  </si>
  <si>
    <t>https://dart.fss.or.kr/dsaf001/main.do?rcpNo=20230605800274</t>
  </si>
  <si>
    <t>국전약품</t>
  </si>
  <si>
    <t>2022.07.07</t>
  </si>
  <si>
    <t>투자금액 감소 및 투자기간 종료일 변경</t>
  </si>
  <si>
    <t xml:space="preserve"> 충북음성공장
-전자소재 생산 CAPA 확충 및 R&amp;D 고도화</t>
  </si>
  <si>
    <t>https://dart.fss.or.kr/dsaf001/main.do?rcpNo=20230531900676</t>
  </si>
  <si>
    <t>아주스틸</t>
  </si>
  <si>
    <t>2022.10.25</t>
  </si>
  <si>
    <t>기간연장</t>
  </si>
  <si>
    <t>김천공장 2차 투자
(설비 보완/추가, 용량확대 등)</t>
  </si>
  <si>
    <t>* 컬러강판 생산능력 확대를 통한 성장동력 및 신제품개발력 확보
* 신규 시설투자를 통한 안정적인 원소재 공급능력 및 원가경쟁력 확보</t>
  </si>
  <si>
    <t>https://dart.fss.or.kr/dsaf001/main.do?rcpNo=20230531800789</t>
  </si>
  <si>
    <t>에코프로에이치엔</t>
  </si>
  <si>
    <t>2023.05.25</t>
  </si>
  <si>
    <t>이차전지, 전자재료 소재 공장 신설</t>
  </si>
  <si>
    <t>https://dart.fss.or.kr/dsaf001/main.do?rcpNo=20230524900380</t>
  </si>
  <si>
    <t>바이오플러스</t>
  </si>
  <si>
    <t>2023.05.24</t>
  </si>
  <si>
    <t xml:space="preserve"> 기존사업 확대 및 바이오 의약품 등 신사업분야
진출에 따른 신규 생산시설 구축</t>
  </si>
  <si>
    <t>에코프로비엠</t>
  </si>
  <si>
    <t>2023.05.23</t>
  </si>
  <si>
    <t xml:space="preserve"> - 하이니켈 NCM 양극활물질 생산능력 확대
- 신규제품 NCMX 생산시설 구축
- 단결정 양극활물질 양산라인 확대</t>
  </si>
  <si>
    <t>https://dart.fss.or.kr/dsaf001/main.do?rcpNo=20230523900365</t>
  </si>
  <si>
    <t>2023.05.18</t>
  </si>
  <si>
    <t>https://dart.fss.or.kr/dsaf001/main.do?rcpNo=20230518900284</t>
  </si>
  <si>
    <t>이엠코리아</t>
  </si>
  <si>
    <t>2023.05.17</t>
  </si>
  <si>
    <t>계약금액변경(설계변경) 및 투자기간 변경(공사지연)</t>
  </si>
  <si>
    <t>창원공장 증축</t>
  </si>
  <si>
    <t>방산 수주 확대에 따른 생산공장 증축 및 생산라인 확보</t>
  </si>
  <si>
    <t>https://dart.fss.or.kr/dsaf001/main.do?rcpNo=20231218900359</t>
  </si>
  <si>
    <t>무림p&amp;p</t>
  </si>
  <si>
    <t>2023.05.16</t>
  </si>
  <si>
    <t>울산공장 친환경 고효율 보일러 시설</t>
  </si>
  <si>
    <t xml:space="preserve"> -바이오매스 기반 신재생에너지(흑액)를 이용한 고효율 발전을 통해 발전량 및 스팀생산량 증대
-수전량 감소 및 스팀생산용 LNG 사용량 감소에 따른 제조원가 절감
-청정연료 사용에 따른 온실가스 감축 및 미세먼지 저감으로 환경규제 선제적 대응</t>
  </si>
  <si>
    <t>https://dart.fss.or.kr/dsaf001/main.do?rcpNo=20230516800152</t>
  </si>
  <si>
    <t>대웅제약</t>
  </si>
  <si>
    <t>나보타 3공장 건설</t>
  </si>
  <si>
    <t xml:space="preserve"> Neurotoxin 시장의 치료제 부문 진출을 통한 사업이익 극대화 및 생산능력 확보</t>
  </si>
  <si>
    <t>https://dart.fss.or.kr/dsaf001/main.do?rcpNo=20230502800600</t>
  </si>
  <si>
    <t>티앤알바이오팹</t>
  </si>
  <si>
    <t>2023.01.31</t>
  </si>
  <si>
    <t xml:space="preserve"> 물류 지연 및 자재수급 지연 등 공사기간 연장에 따른 정정</t>
  </si>
  <si>
    <t>생산공장 신축 및 생산설비 확보</t>
  </si>
  <si>
    <t>https://dart.fss.or.kr/dsaf001/main.do?rcpNo=20230428900648</t>
  </si>
  <si>
    <t>투자기간 종료일 변경</t>
  </si>
  <si>
    <t>탄산리튬 생산설비</t>
  </si>
  <si>
    <t xml:space="preserve"> 폐배터리 리사이클 사업내 니켈,코발트 추출뿐 아니라 최근 수급불균형으로 급격히 가격이 오르는 리튬 추출사업에 조기진출하여 수익성을 극대화</t>
  </si>
  <si>
    <t>https://dart.fss.or.kr/dsaf001/main.do?rcpNo=20230428800479</t>
  </si>
  <si>
    <t>그린케미칼</t>
  </si>
  <si>
    <t>2022.03.07</t>
  </si>
  <si>
    <t xml:space="preserve"> 공사기간 연장에 따른 투자기간 정정</t>
  </si>
  <si>
    <t>대산공장 생산시설 및 저장시설 증설</t>
  </si>
  <si>
    <t>https://dart.fss.or.kr/dsaf001/main.do?rcpNo=20230428800296</t>
  </si>
  <si>
    <t>프리시젼바이오</t>
  </si>
  <si>
    <t>2023.04.27</t>
  </si>
  <si>
    <t>공사기간 연장에 따른 투자기간 정정</t>
  </si>
  <si>
    <t>체외진단 제품 생산시설 증설을 위한 시설투자목적</t>
  </si>
  <si>
    <t>https://dart.fss.or.kr/dsaf001/main.do?rcpNo=20230630900685</t>
  </si>
  <si>
    <t>한솔아이원스</t>
  </si>
  <si>
    <t>2022.07.28</t>
  </si>
  <si>
    <t>투자기간 종료일 연장 및 회계기간 변경에 따른 자기자본 금액 변동</t>
  </si>
  <si>
    <t>세정코팅 고객수요 증대에 대응하기 위한 생산능력 확충</t>
  </si>
  <si>
    <t>https://dart.fss.or.kr/dsaf001/main.do?rcpNo=20230427900443</t>
  </si>
  <si>
    <t>2023.04.24</t>
  </si>
  <si>
    <t xml:space="preserve"> 양극재 제조설비</t>
  </si>
  <si>
    <t>https://dart.fss.or.kr/dsaf001/main.do?rcpNo=20230424800184</t>
  </si>
  <si>
    <t>아바텍</t>
  </si>
  <si>
    <t>2023.04.11</t>
  </si>
  <si>
    <t>전장용 및 산업용 MLCC의 고객사 신규 수요 증가에 따른 생산라인 증설 투자</t>
  </si>
  <si>
    <t>https://dart.fss.or.kr/dsaf001/main.do?rcpNo=20230411900144</t>
  </si>
  <si>
    <t>아세아제지</t>
  </si>
  <si>
    <t>2023.04.06</t>
  </si>
  <si>
    <t>골판지 제조공장 신설</t>
  </si>
  <si>
    <t>생산능력 확대를 통한 경쟁력 강화</t>
  </si>
  <si>
    <t>https://dart.fss.or.kr/dsaf001/main.do?rcpNo=20230406800480</t>
  </si>
  <si>
    <t>2023.04.03</t>
  </si>
  <si>
    <t>투자금액 변경 및 증비서류 제출</t>
  </si>
  <si>
    <t xml:space="preserve"> 신규시설투자등(공장신축)</t>
  </si>
  <si>
    <t>합성쿼츠 가공 라인 증설을 위한 양산공장 신축</t>
  </si>
  <si>
    <t>https://dart.fss.or.kr/dsaf001/main.do?rcpNo=20230403900533</t>
  </si>
  <si>
    <t>덕우전자</t>
  </si>
  <si>
    <t>2022.09.20</t>
  </si>
  <si>
    <t xml:space="preserve"> 공장 신설</t>
  </si>
  <si>
    <t>사업 확장을 위한 공장 신설</t>
  </si>
  <si>
    <t>https://dart.fss.or.kr/dsaf001/main.do?rcpNo=20230331902428</t>
  </si>
  <si>
    <t>2022-12.27</t>
  </si>
  <si>
    <t>공사기간연장</t>
  </si>
  <si>
    <t>신규 시설투자(공장증측 및 개축, 기계장치)</t>
  </si>
  <si>
    <t xml:space="preserve"> 이오패치 공정의 자동화를 통한 생산량 증대 및 불량감소</t>
  </si>
  <si>
    <t>유일에너테크</t>
  </si>
  <si>
    <t>신규시설 투자(공장신축)</t>
  </si>
  <si>
    <t>유일에너테크 주식회사의 수주증가에 따른 공장 신축</t>
  </si>
  <si>
    <t>https://dart.fss.or.kr/dsaf001/main.do?rcpNo=20230331902214</t>
  </si>
  <si>
    <t>효성화학</t>
  </si>
  <si>
    <t>설비공사 지연으로 인한 투자 종료일 정정</t>
  </si>
  <si>
    <t>폴리프로필렌 중합 Pilot Plant 구축</t>
  </si>
  <si>
    <t>글로벌 수준의 공정 및 품질 경쟁력 확보</t>
  </si>
  <si>
    <t>https://dart.fss.or.kr/dsaf001/main.do?rcpNo=20230331803601</t>
  </si>
  <si>
    <t>한진</t>
  </si>
  <si>
    <t>2020.01.21</t>
  </si>
  <si>
    <t>투자종료기간 변경</t>
  </si>
  <si>
    <t>택배 대전 Mega-hub 터미널</t>
  </si>
  <si>
    <t>중장기 택배 수요증가 대응 및 택배 생산성 증대</t>
  </si>
  <si>
    <t>http://dart.fss.or.kr/dsaf001/main.do?rcpNo=20230331803498</t>
  </si>
  <si>
    <t>티에이치엔</t>
  </si>
  <si>
    <t>2022.06.30</t>
  </si>
  <si>
    <t>생산계획 변경으로 인한 투자기간 연장</t>
  </si>
  <si>
    <t>구지공장</t>
  </si>
  <si>
    <t xml:space="preserve"> 제조공정 및 시설 확충</t>
  </si>
  <si>
    <t>https://dart.fss.or.kr/dsaf001/main.do?rcpNo=20230331802689</t>
  </si>
  <si>
    <t>2021.08.09</t>
  </si>
  <si>
    <t>의약용 미생물 단백질(엔돌라이신) CGMP 제조시설 투자</t>
  </si>
  <si>
    <t>http://dart.fss.or.kr/dsaf001/main.do?rcpNo=20230331902751</t>
  </si>
  <si>
    <t>LG디스플레이</t>
  </si>
  <si>
    <t>2019.07.23</t>
  </si>
  <si>
    <t>투자기간 종료일 연장</t>
  </si>
  <si>
    <t>대형 OLED 패널 생산 시설</t>
  </si>
  <si>
    <t>초대형 OLED 시장 선점 및 경쟁력 강화</t>
  </si>
  <si>
    <t>http://dart.fss.or.kr/dsaf001/main.do?rcpNo=20230331803465</t>
  </si>
  <si>
    <t>EG</t>
  </si>
  <si>
    <t>2023.03.28</t>
  </si>
  <si>
    <t>광양 신규 공장 건설</t>
  </si>
  <si>
    <t>https://dart.fss.or.kr/dsaf001/main.do?rcpNo=20230328901495</t>
  </si>
  <si>
    <t>2022.12.23</t>
  </si>
  <si>
    <t>2023.03.24</t>
  </si>
  <si>
    <t>시설투자 완료에 따른 보고</t>
  </si>
  <si>
    <t>제약 설비 생산 Capacity 확장</t>
  </si>
  <si>
    <t>https://dart.fss.or.kr/dsaf001/main.do?rcpNo=20230324901088</t>
  </si>
  <si>
    <t>포스코케미칼</t>
  </si>
  <si>
    <t>2023.03.20</t>
  </si>
  <si>
    <t>https://dart.fss.or.kr/dsaf001/main.do?rcpNo=20230320801054</t>
  </si>
  <si>
    <t>프레스티지바이오</t>
  </si>
  <si>
    <t>2023.03.14</t>
  </si>
  <si>
    <t>신규시설(공장 증축 및 신축)투자</t>
  </si>
  <si>
    <t>공장 증축확장 및 백신센터 시설 투자</t>
  </si>
  <si>
    <t>https://dart.fss.or.kr/dsaf001/main.do?rcpNo=20230314900589</t>
  </si>
  <si>
    <t>에스엠벡셀</t>
  </si>
  <si>
    <t>2023.03.13</t>
  </si>
  <si>
    <t>전자신관용 앰플(ampoule)전지 생산시설투자</t>
  </si>
  <si>
    <t>전자식 포탄의 전자신관용 전원 용도의 앰플전지 생산시설 신규 투자</t>
  </si>
  <si>
    <t>https://dart.fss.or.kr/dsaf001/main.do?rcpNo=20230313800692</t>
  </si>
  <si>
    <t>화신</t>
  </si>
  <si>
    <t>2023.03.08</t>
  </si>
  <si>
    <t>전기차 부품 생산공장 신설</t>
  </si>
  <si>
    <t xml:space="preserve"> 국내 전기차용 배터리팩 케이스 수주에 따른 신규 공장 설립</t>
  </si>
  <si>
    <t>https://dart.fss.or.kr/dsaf001/main.do?rcpNo=20230308800325</t>
  </si>
  <si>
    <t>코아스템켐온</t>
  </si>
  <si>
    <t>2023.03.07</t>
  </si>
  <si>
    <t>투자기간 확정</t>
  </si>
  <si>
    <t xml:space="preserve"> 안정적인 치료제 생산을 위한 자가 공장 확보
(오송 생명과학단지)</t>
  </si>
  <si>
    <t>https://dart.fss.or.kr/dsaf001/main.do?rcpNo=20230227900530</t>
  </si>
  <si>
    <t>한화솔루션</t>
  </si>
  <si>
    <t>2023.02.16</t>
  </si>
  <si>
    <t>CA 제조설비</t>
  </si>
  <si>
    <t>국내외 시장 수요에 대응한 CA 생산설비 증설</t>
  </si>
  <si>
    <t>https://dart.fss.or.kr/dsaf001/main.do?rcpNo=20230216800315</t>
  </si>
  <si>
    <t>2023.02.14</t>
  </si>
  <si>
    <t xml:space="preserve"> 9,000TEU급 컨테이너 메탄올 추진선 9척 신조</t>
  </si>
  <si>
    <t xml:space="preserve"> 중장기 선대 운영 계획에 따라 반선선박에 대한 대체선 확보 및 국제 온실가스 규제 대응 가능한 대체연료 선박 발주</t>
  </si>
  <si>
    <t>https://dart.fss.or.kr/dsaf001/main.do?rcpNo=20230214800345</t>
  </si>
  <si>
    <t>2023.02.08</t>
  </si>
  <si>
    <t>시장 상황 변화에 따른 신규 시설투자 계획 변경</t>
  </si>
  <si>
    <t>박막 복합소재 양산설비 주요 Part 도입</t>
  </si>
  <si>
    <t>https://dart.fss.or.kr/dsaf001/main.do?rcpNo=20230208900770</t>
  </si>
  <si>
    <t>SK바이오사이언스</t>
  </si>
  <si>
    <t>송도 Global R&amp;PD Center 구축</t>
  </si>
  <si>
    <t xml:space="preserve"> 백신 사업의 확장 및 신규 사업 추진을 위한 인프라 구축</t>
  </si>
  <si>
    <t>https://dart.fss.or.kr/dsaf001/main.do?rcpNo=20230208800672</t>
  </si>
  <si>
    <t>2023.02.06</t>
  </si>
  <si>
    <t>6G OLED 식각 관련 신규시설 투자</t>
  </si>
  <si>
    <t>https://dart.fss.or.kr/dsaf001/main.do?rcpNo=20230206900159</t>
  </si>
  <si>
    <t>대화제약</t>
  </si>
  <si>
    <t>2020.09.21</t>
  </si>
  <si>
    <t>횡성 공장내 제4공장 신설</t>
  </si>
  <si>
    <t>TDDS 특화 기술을 바탕으로 TDDS 전문 제품 생산 시설 확대를 통한 경쟁력 강화</t>
  </si>
  <si>
    <t>https://dart.fss.or.kr/dsaf001/main.do?rcpNo=20230131900375</t>
  </si>
  <si>
    <t>대웅(대웅바이오)</t>
  </si>
  <si>
    <t>2023.01.16</t>
  </si>
  <si>
    <t>생물학제제 신공장 신설</t>
  </si>
  <si>
    <t>미생물 기반 전용공장 건설 및 글로벌 CDMO 사업 추진</t>
  </si>
  <si>
    <t>https://dart.fss.or.kr/dsaf001/main.do?rcpNo=20230116800605</t>
  </si>
  <si>
    <t>해성디에스</t>
  </si>
  <si>
    <t>반도체 Substrate 제조용 기계장치, 건축물 등</t>
  </si>
  <si>
    <t>사업장 공간효율 증대 및 생산설비 증설을 통한 매출 확대기반 확보</t>
  </si>
  <si>
    <t>https://dart.fss.or.kr/dsaf001/main.do?rcpNo=20230116800465</t>
  </si>
  <si>
    <t>시스윅</t>
  </si>
  <si>
    <t>2022.04.29</t>
  </si>
  <si>
    <t>2022.12.30</t>
  </si>
  <si>
    <t>투자기간 종료일에 따른 투자금액 확정</t>
  </si>
  <si>
    <t>신규시설 투자</t>
  </si>
  <si>
    <t>신규 사업진출을 위한 진단 Kit 자동 Dispensing system 설비 투자</t>
  </si>
  <si>
    <t>https://dart.fss.or.kr/dsaf001/main.do?rcpNo=20221230900284</t>
  </si>
  <si>
    <t>한솔케미칼</t>
  </si>
  <si>
    <t>2021.08.10</t>
  </si>
  <si>
    <t xml:space="preserve"> COVID-19 상황에 따른 물류 지연으로 공정설비 중 일부 입고 지연</t>
  </si>
  <si>
    <t>이차전지용 실리콘 음극재 양산설비 구축</t>
  </si>
  <si>
    <t>이차전지소재 사업영역 확대 및 상업생산</t>
  </si>
  <si>
    <t>https://dart.fss.or.kr/dsaf001/main.do?rcpNo=20221230800504</t>
  </si>
  <si>
    <t>삼영</t>
  </si>
  <si>
    <t>철강등 원자재의 수급문제등으로 인한 주요 부품 제작사들의 납품지연에 따른 투자기간의 연장</t>
  </si>
  <si>
    <t>친환경 전기차용 초박막 캐파시터필름 생산라인 시설투자</t>
  </si>
  <si>
    <t>친환경 전기, 수소차의 수요 증가에 따른 생산량 증대</t>
  </si>
  <si>
    <t>https://dart.fss.or.kr/dsaf001/main.do?rcpNo=20221230800119</t>
  </si>
  <si>
    <t>아비코전자</t>
  </si>
  <si>
    <t>2022.04.07</t>
  </si>
  <si>
    <t>신규시설 투자 - 증평 신공장 신축공사</t>
  </si>
  <si>
    <t>메탈파워인덕터 생산확대를 위한 기반시설 확충</t>
  </si>
  <si>
    <t>https://dart.fss.or.kr/dsaf001/main.do?rcpNo=20220407900204</t>
  </si>
  <si>
    <t>나이벡</t>
  </si>
  <si>
    <t>2021.12.28</t>
  </si>
  <si>
    <t>투자기간종료일 변경</t>
  </si>
  <si>
    <t>생산설비의 개보수 및 증설</t>
  </si>
  <si>
    <t>제품 생산체제 구축을 위한 설비투자
기존 생산라인 노후화에 따른 개보수
제품 해외 인허가 완료 및 판매계약 증가에 따른 생산량 확보</t>
  </si>
  <si>
    <t>https://dart.fss.or.kr/dsaf001/main.do?rcpNo=20221228900673</t>
  </si>
  <si>
    <t>티에스아이</t>
  </si>
  <si>
    <t>2022.11.30</t>
  </si>
  <si>
    <t>2022.12.27</t>
  </si>
  <si>
    <t xml:space="preserve"> 투자기간 종료일 변경</t>
  </si>
  <si>
    <t>수주증가에 따른 생산캐파 확대</t>
  </si>
  <si>
    <t>https://dart.fss.or.kr/dsaf001/main.do?rcpNo=20221227900689</t>
  </si>
  <si>
    <t>광학솔루션 사업</t>
  </si>
  <si>
    <t>https://dart.fss.or.kr/dsaf001/main.do?rcpNo=20221223800470</t>
  </si>
  <si>
    <t>메타바이오메드</t>
  </si>
  <si>
    <t>2022.05.27</t>
  </si>
  <si>
    <t>2022.12.22</t>
  </si>
  <si>
    <t>생산capa 증대를 위한 신규공장 건립</t>
  </si>
  <si>
    <t>https://dart.fss.or.kr/dsaf001/main.do?rcpNo=20221222900378</t>
  </si>
  <si>
    <t>2022.12.20</t>
  </si>
  <si>
    <t>투자기간 연장에 따른 정정</t>
  </si>
  <si>
    <t>전기자동차(EV) 2차전지 시장을 대응하기 위한 생산시설 및 주력사업 시설 투자</t>
  </si>
  <si>
    <t>https://dart.fss.or.kr/dsaf001/main.do?rcpNo=20221220900403</t>
  </si>
  <si>
    <t>신세계건설</t>
  </si>
  <si>
    <t>2022.12.19</t>
  </si>
  <si>
    <t>골프코스 증설</t>
  </si>
  <si>
    <t>골프장 운영의 효율성 및 수익성 제고</t>
  </si>
  <si>
    <t>https://dart.fss.or.kr/dsaf001/main.do?rcpNo=20221219800219</t>
  </si>
  <si>
    <t>2022.12.16</t>
  </si>
  <si>
    <t xml:space="preserve"> OLED 유기재료 제조생산라인 신설 및 반도체 프리커서 증설을 통한 생산 CAPA 확보</t>
  </si>
  <si>
    <t>https://dart.fss.or.kr/dsaf001/main.do?rcpNo=20221216900572</t>
  </si>
  <si>
    <t>풍원정밀</t>
  </si>
  <si>
    <t>2022.12.14</t>
  </si>
  <si>
    <t>메탈마스크 생산을 위한 시설 투자</t>
  </si>
  <si>
    <t>https://dart.fss.or.kr/dsaf001/main.do?rcpNo=20221214900742</t>
  </si>
  <si>
    <t>제주항공</t>
  </si>
  <si>
    <t>2022.12.06</t>
  </si>
  <si>
    <t>신기종 항공기 Spare 엔진 구매</t>
  </si>
  <si>
    <t>신기종 도입 전 1대 이상 Spare 엔진 도입</t>
  </si>
  <si>
    <t>https://dart.fss.or.kr/dsaf001/main.do?rcpNo=20221206800442</t>
  </si>
  <si>
    <t>아이컴포넌트</t>
  </si>
  <si>
    <t>2022.04.20</t>
  </si>
  <si>
    <t>시설투자(기계장치)</t>
  </si>
  <si>
    <t>디스플레이 및 태양전지용(유럽,중국) 배리어필름에 대한 수주 대응</t>
  </si>
  <si>
    <t>https://dart.fss.or.kr/dsaf001/main.do?rcpNo=20221130900073</t>
  </si>
  <si>
    <t>2020.03.30</t>
  </si>
  <si>
    <t>인조흑연 음극재 제조설비</t>
  </si>
  <si>
    <t>2차전지 시장 수요에 대응한 생산설비 신설</t>
  </si>
  <si>
    <t>https://dart.fss.or.kr/dsaf001/main.do?rcpNo=20221130800343</t>
  </si>
  <si>
    <t>동남합성</t>
  </si>
  <si>
    <t>2022.06.29</t>
  </si>
  <si>
    <t>2022.11.29</t>
  </si>
  <si>
    <t>대산2공장 생산2동, 복합동 증설</t>
  </si>
  <si>
    <t>수요증가에 따른 생산시설, 적재시설 증설</t>
  </si>
  <si>
    <t>https://dart.fss.or.kr/dsaf001/main.do?rcpNo=20221129800465</t>
  </si>
  <si>
    <t>휴온스</t>
  </si>
  <si>
    <t>2022.11.28</t>
  </si>
  <si>
    <t>신규 시설투자(바이알/카트리지 생산 라인 증설)</t>
  </si>
  <si>
    <t>제2공장 내 의약품 생산 시설 확충
- 해외 수출 의약품 증가에 대비한 선제 대응</t>
  </si>
  <si>
    <t>https://dart.fss.or.kr/dsaf001/main.do?rcpNo=20221128900071</t>
  </si>
  <si>
    <t>유바이오로직스</t>
  </si>
  <si>
    <t>2022.11.25</t>
  </si>
  <si>
    <t>시설증설 투자</t>
  </si>
  <si>
    <t xml:space="preserve"> 콜레라 백신(유비콜-플러스) 완제시설 5,900만 도스 증설에 대한 투자</t>
  </si>
  <si>
    <t>https://dart.fss.or.kr/dsaf001/main.do?rcpNo=20221125900324</t>
  </si>
  <si>
    <t>네패스아크</t>
  </si>
  <si>
    <t>2021.12.07</t>
  </si>
  <si>
    <t>2022.11.24</t>
  </si>
  <si>
    <t>시설 투자 확대에 따른 신공장 건설</t>
  </si>
  <si>
    <t>http://dart.fss.or.kr/dsaf001/main.do?rcpNo=20211207900278</t>
  </si>
  <si>
    <t>대한유화</t>
  </si>
  <si>
    <t>2021.05.31</t>
  </si>
  <si>
    <t>보류기간 연장에 따른 기재사항 정정</t>
  </si>
  <si>
    <t>SM생산시설 신설</t>
  </si>
  <si>
    <t>BTX 계열의 신규사업 진출</t>
  </si>
  <si>
    <t>http://dart.fss.or.kr/dsaf001/main.do?rcpNo=20210531800575</t>
  </si>
  <si>
    <t>S-OIL</t>
  </si>
  <si>
    <t>2022.11.17</t>
  </si>
  <si>
    <t>투자금액 공개</t>
  </si>
  <si>
    <t>당사의 지속 성장을 위한 수익성 및 경쟁력 강화</t>
  </si>
  <si>
    <t>https://dart.fss.or.kr/dsaf001/main.do?rcpNo=20221117800125</t>
  </si>
  <si>
    <t>2022.11.16</t>
  </si>
  <si>
    <t>친환경 정책에 따른 CNG, 수소 등 고압용기 및 태양광 단열재 등 글로벌 탄소섬유 수요증가에 따른 증설</t>
  </si>
  <si>
    <t>https://dart.fss.or.kr/dsaf001/main.do?rcpNo=20221116800357</t>
  </si>
  <si>
    <t>TCC스틸</t>
  </si>
  <si>
    <t>2021.12.29</t>
  </si>
  <si>
    <t>2022.11.08</t>
  </si>
  <si>
    <t>니켈도금강판 수요증가에 따른 설비 증설</t>
  </si>
  <si>
    <t>https://dart.fss.or.kr/dsaf001/main.do?rcpNo=20221108800229https://dart.fss.or.kr/dsaf001/main.do?rcpNo=20221108800229</t>
  </si>
  <si>
    <t>금호석유화학</t>
  </si>
  <si>
    <t>2021.06.22</t>
  </si>
  <si>
    <t>NB-Latex 생산설비 신설</t>
  </si>
  <si>
    <t>NB-Latex 시장 규모의 성장에 따라 시장의 수요 증가에 대응하기 위해 NB-Latex 1-Line을 신설하여 생산능력을 확대함</t>
  </si>
  <si>
    <t>https://dart.fss.or.kr/dsaf001/main.do?rcpNo=20221108800399</t>
  </si>
  <si>
    <t>월덱스</t>
  </si>
  <si>
    <t>2022.10.31</t>
  </si>
  <si>
    <t>금액변경</t>
  </si>
  <si>
    <t>신규시설투자 및 공장 신설</t>
  </si>
  <si>
    <t>시장 확대 및 고객 수요 증가 대응을 통한 매출 및 이익 극대화</t>
  </si>
  <si>
    <t>https://dart.fss.or.kr/dsaf001/main.do?rcpNo=20221031900320</t>
  </si>
  <si>
    <t>반도체급 제품 합성 및 정제 설비 투자</t>
  </si>
  <si>
    <t>https://dart.fss.or.kr/dsaf001/main.do?rcpNo=20221031900301</t>
  </si>
  <si>
    <t>코엔텍</t>
  </si>
  <si>
    <t xml:space="preserve"> 소각시설 노후화로 인한 대체 소각로 건설</t>
  </si>
  <si>
    <t>https://dart.fss.or.kr/dsaf001/main.do?rcpNo=20221031900282</t>
  </si>
  <si>
    <t>오킨스전자</t>
  </si>
  <si>
    <t>2022.05.11</t>
  </si>
  <si>
    <t>2022.10.28</t>
  </si>
  <si>
    <t>신규시설투자(기계장치)</t>
  </si>
  <si>
    <t>5G Connector 사업의 신제품 양산라인 구축투자</t>
  </si>
  <si>
    <t>https://dart.fss.or.kr/dsaf001/main.do?rcpNo=20221028900653</t>
  </si>
  <si>
    <t>사조오양</t>
  </si>
  <si>
    <t>사조오양 금산공장 인근 공장 신설</t>
  </si>
  <si>
    <t>생산품목 증대 및 CAPA확대를 통한 경쟁력 강화</t>
  </si>
  <si>
    <t>https://dart.fss.or.kr/dsaf001/main.do?rcpNo=20221025800377</t>
  </si>
  <si>
    <t>2022.10.17</t>
  </si>
  <si>
    <t xml:space="preserve"> MLB사업부문 기계장치, 부대시설 등</t>
  </si>
  <si>
    <t>생산능력 추가 확보를 위한 생산설비투자</t>
  </si>
  <si>
    <t>https://dart.fss.or.kr/dsaf001/main.do?rcpNo=20221017800445</t>
  </si>
  <si>
    <t>2022.10.12</t>
  </si>
  <si>
    <t>투자금액변경</t>
  </si>
  <si>
    <t>발전용 고체산화물 연료전지(SOFC) 생산설비</t>
  </si>
  <si>
    <t>https://dart.fss.or.kr/dsaf001/main.do?rcpNo=20221012800377</t>
  </si>
  <si>
    <t>2020.08.11</t>
  </si>
  <si>
    <t>2022.10.11</t>
  </si>
  <si>
    <t xml:space="preserve"> 투자금액 증가 및 설비규모 변경</t>
  </si>
  <si>
    <t>송도 삼성바이오단지 내 4공장 신설</t>
  </si>
  <si>
    <t>http://dart.fss.or.kr/dsaf001/main.do?rcpNo=20200811800053</t>
  </si>
  <si>
    <t>테이팩스</t>
  </si>
  <si>
    <t>2022.10.06</t>
  </si>
  <si>
    <t>2차전지용 테이프 제조공장 및 생산설비 구축</t>
  </si>
  <si>
    <t xml:space="preserve"> 2차전지 사업 성장에 따른 신규 사업장 및 생산능력 선제적 확보</t>
  </si>
  <si>
    <t>https://dart.fss.or.kr/dsaf001/main.do?rcpNo=20221006800180</t>
  </si>
  <si>
    <t>인산가</t>
  </si>
  <si>
    <t>2022.08.31</t>
  </si>
  <si>
    <t>2022.09.30</t>
  </si>
  <si>
    <t xml:space="preserve"> '함양 인산죽염 항노화 지역특화농공단지' 설계변경, 자재비 상승에 따른 투자금액 변경 및 투자기간변경.</t>
  </si>
  <si>
    <t>신규 시설투자 등</t>
  </si>
  <si>
    <t>함양 인산죽염 항노화 지역특화농공단지' 조성을 통한 생산시설 확장 및 체험관광사업 부문 강화</t>
  </si>
  <si>
    <t>https://dart.fss.or.kr/dsaf001/main.do?rcpNo=20220930900768</t>
  </si>
  <si>
    <t>피엔에이치테크</t>
  </si>
  <si>
    <t>2021.11.19</t>
  </si>
  <si>
    <t>진천공장 합성동 신설 증축</t>
  </si>
  <si>
    <t>https://dart.fss.or.kr/dsaf001/main.do?rcpNo=20220930900255</t>
  </si>
  <si>
    <t>2021.12.24</t>
  </si>
  <si>
    <t>2022.09.27</t>
  </si>
  <si>
    <t>공사기간 연장에 따른 정정</t>
  </si>
  <si>
    <t xml:space="preserve"> 2차전지용 CNT, 도전재, 그래핀 슈퍼커패시터 공장 신축 및 제조설비 등</t>
  </si>
  <si>
    <t>2차전지용 CNT,도전재,그래핀 슈퍼커패시터 생산시설 확보</t>
  </si>
  <si>
    <t>https://dart.fss.or.kr/dsaf001/main.do?rcpNo=20220927800632</t>
  </si>
  <si>
    <t>2022.09.15</t>
  </si>
  <si>
    <t xml:space="preserve"> 울산 클린에너지 복합단지 사업 추진을 위한 인프라 시설
증대하여 경영성과를 극대화 하고자 함.</t>
  </si>
  <si>
    <t xml:space="preserve"> 인프라 시설 구축을 통한 LNG 터미널 사업의 규모 확대 및 향후 클린에너지(수소 등) 사업 추진기반 마련
증대하여 경영성과를 극대화 하고자 함.</t>
  </si>
  <si>
    <t>https://dart.fss.or.kr/dsaf001/main.do?rcpNo=20220915800458</t>
  </si>
  <si>
    <t>셀트리온</t>
  </si>
  <si>
    <t>2020.11.18</t>
  </si>
  <si>
    <t>2022.09.02</t>
  </si>
  <si>
    <t xml:space="preserve"> 공사기간 변경
- 시공사 선정 검토 기간 연장에 따른 공사기간 변경</t>
  </si>
  <si>
    <t>제3공장 신설</t>
  </si>
  <si>
    <t>제품 포트폴리오 확대에 따른 생산능력 확보</t>
  </si>
  <si>
    <t>https://dart.fss.or.kr/dsaf001/main.do?rcpNo=20220902800512</t>
  </si>
  <si>
    <t>2022.02.28</t>
  </si>
  <si>
    <t>투자기간(종료일) 변경에 의함</t>
  </si>
  <si>
    <t>콜레라 백신 생산시설 2,500만 도즈 추가증설에 대한 투자</t>
  </si>
  <si>
    <t>https://dart.fss.or.kr/dsaf001/main.do?rcpNo=20220831900257</t>
  </si>
  <si>
    <t>2021.08.23</t>
  </si>
  <si>
    <t>공사기간 연장에 따른 투자 금액 및 투자 기간 변경</t>
  </si>
  <si>
    <t>공장 신축</t>
  </si>
  <si>
    <t xml:space="preserve"> 저궤도용 안테나 생산 시설, 물류 창고 확보 및 게이트웨이 안테나 등 신제품 개발과 양산을 위한 시설 증설</t>
  </si>
  <si>
    <t>https://dart.fss.or.kr/dsaf001/main.do?rcpNo=20220530900546</t>
  </si>
  <si>
    <t>제테마</t>
  </si>
  <si>
    <t>2022.05.31</t>
  </si>
  <si>
    <t>투자금액 변경 및 투자기간 연장</t>
  </si>
  <si>
    <t>신규시설투자(시설증설)</t>
  </si>
  <si>
    <t>필러 생산설비 CAPA 증대를 위한 투자</t>
  </si>
  <si>
    <t>https://dart.fss.or.kr/dsaf001/main.do?rcpNo=20220531900172</t>
  </si>
  <si>
    <t>2022.04.26</t>
  </si>
  <si>
    <t>반도체용 불산 제조설비 신규투자</t>
  </si>
  <si>
    <t>https://dart.fss.or.kr/dsaf001/main.do?rcpNo=20220426900220</t>
  </si>
  <si>
    <t>에스앤디</t>
  </si>
  <si>
    <t>2022.05.30</t>
  </si>
  <si>
    <t>건강기능성식품 소재 전용공장 증축</t>
  </si>
  <si>
    <t>생산라인 증대 및 건강기능성 식품 생산라인을 구축하여 생산효율, 원가절감, 생산 능력 증진 도모</t>
  </si>
  <si>
    <t>https://dart.fss.or.kr/dsaf001/main.do?rcpNo=20220825900287</t>
  </si>
  <si>
    <t>엘앤에프</t>
  </si>
  <si>
    <t>2022.08.22</t>
  </si>
  <si>
    <t xml:space="preserve"> 전기차(EV)용 2차전지 양극활물질 수요 대응을 위한 CAPA 증설</t>
  </si>
  <si>
    <t>https://dart.fss.or.kr/dsaf001/main.do?rcpNo=20220822900118</t>
  </si>
  <si>
    <t>팬오션</t>
  </si>
  <si>
    <t>2022.08.09</t>
  </si>
  <si>
    <t>LNG선 2척 건조</t>
  </si>
  <si>
    <t>LNG 운송 사업 확대</t>
  </si>
  <si>
    <t>https://dart.fss.or.kr/dsaf001/main.do?rcpNo=20220809800163</t>
  </si>
  <si>
    <t>2022.03.02</t>
  </si>
  <si>
    <t>2022.08.04</t>
  </si>
  <si>
    <t>신규 매립시설 조성을 통한 영업의 지속과 사업 안정성 확보</t>
  </si>
  <si>
    <t>https://dart.fss.or.kr/dsaf001/main.do?rcpNo=20220302900599</t>
  </si>
  <si>
    <t>해성티피씨</t>
  </si>
  <si>
    <t>2021.05.17</t>
  </si>
  <si>
    <t>코로나19로 인한 제작지연</t>
  </si>
  <si>
    <t>생산능력확충</t>
  </si>
  <si>
    <t>https://dart.fss.or.kr/dsaf001/main.do?rcpNo=20220804900186</t>
  </si>
  <si>
    <t>에스앤에스텍</t>
  </si>
  <si>
    <t>2022.03.03</t>
  </si>
  <si>
    <t>투자기간변경</t>
  </si>
  <si>
    <t>EUV 펠리클 양산을 위한 신규공장(용인) 신축</t>
  </si>
  <si>
    <t>https://dart.fss.or.kr/dsaf001/main.do?rcpNo=20220804900112</t>
  </si>
  <si>
    <t>유네코</t>
  </si>
  <si>
    <t>2022.08.01</t>
  </si>
  <si>
    <t xml:space="preserve"> 신사업 '세라믹 아연도금 사업화'를 위한 설비투자</t>
  </si>
  <si>
    <t>https://dart.fss.or.kr/dsaf001/main.do?rcpNo=20220801900437</t>
  </si>
  <si>
    <t>2022.01.21</t>
  </si>
  <si>
    <t>2022.07.29</t>
  </si>
  <si>
    <t>4층 이상의 고다층 MSAP기판의 수요 증대 대응을 위한 생산규모 및 생산능력 확대</t>
  </si>
  <si>
    <t>https://dart.fss.or.kr/dsaf001/main.do?rcpNo=20220729900460</t>
  </si>
  <si>
    <t>아이원스</t>
  </si>
  <si>
    <t>2022.04.14</t>
  </si>
  <si>
    <t xml:space="preserve"> 세정코팅 고객수요 증대에 대응하기 위한 생산능력 확충</t>
  </si>
  <si>
    <t>https://dart.fss.or.kr/dsaf001/main.do?rcpNo=20220728900611</t>
  </si>
  <si>
    <t>2022.07.27</t>
  </si>
  <si>
    <t>전구체 제조설비</t>
  </si>
  <si>
    <t>전구체 내재화 확대 및 원료 경쟁력 강화</t>
  </si>
  <si>
    <t>https://dart.fss.or.kr/dsaf001/main.do?rcpNo=20220727800435</t>
  </si>
  <si>
    <t>2022.07.26</t>
  </si>
  <si>
    <t>LNG선 1척 건조</t>
  </si>
  <si>
    <t>https://dart.fss.or.kr/dsaf001/main.do?rcpNo=20220726800230</t>
  </si>
  <si>
    <t>위더스제약</t>
  </si>
  <si>
    <t>2021.06.23</t>
  </si>
  <si>
    <t>2022.07.21</t>
  </si>
  <si>
    <t>신규시설투자 및 공장신설</t>
  </si>
  <si>
    <t>탈모치료 장기지속형 주사제 생산 및 주사제 사업 다각화를 위함</t>
  </si>
  <si>
    <t>https://dart.fss.or.kr/dsaf001/main.do?rcpNo=20220721900157</t>
  </si>
  <si>
    <t>한국가스공사</t>
  </si>
  <si>
    <t>2022.07.14</t>
  </si>
  <si>
    <t>천연가스의 생산/공급설비</t>
  </si>
  <si>
    <t xml:space="preserve"> 천연가스 저장시설 확충을 위한
제5 LNG생산기지 2단계 건설</t>
  </si>
  <si>
    <t>https://dart.fss.or.kr/dsaf001/main.do?rcpNo=20220715800434</t>
  </si>
  <si>
    <t>메카로</t>
  </si>
  <si>
    <t>2022.07.13</t>
  </si>
  <si>
    <t>세라믹 히터블럭과 ESC 개발 및 사업화를 위한 신규시설 투자</t>
  </si>
  <si>
    <t>https://dart.fss.or.kr/dsaf001/main.do?rcpNo=20220713900383</t>
  </si>
  <si>
    <t>태성</t>
  </si>
  <si>
    <t>안산공장 증축공사</t>
  </si>
  <si>
    <t>수주 증가에 따른 생산능력 확대</t>
  </si>
  <si>
    <t>https://dart.fss.or.kr/dsaf001/main.do?rcpNo=20220713900075</t>
  </si>
  <si>
    <t>크라운제과</t>
  </si>
  <si>
    <t>2022.07.08</t>
  </si>
  <si>
    <t>(주)크라운제과 아산신공장</t>
  </si>
  <si>
    <t>생산효율화를 통한 사업 경쟁력 확보 및 강화</t>
  </si>
  <si>
    <t>https://dart.fss.or.kr/dsaf001/main.do?rcpNo=20220708800379</t>
  </si>
  <si>
    <t>덕산하이메탈</t>
  </si>
  <si>
    <t>전방 수요 증가에 따른 마이크로솔더볼 공장 및 생산설비 증설</t>
  </si>
  <si>
    <t>https://dart.fss.or.kr/dsaf001/main.do?rcpNo=20220707900094</t>
  </si>
  <si>
    <t>투자금액 변동</t>
  </si>
  <si>
    <t>신규사업용 생산능력(CAPA) 증설</t>
  </si>
  <si>
    <t>https://dart.fss.or.kr/dsaf001/main.do?rcpNo=20220304901100</t>
  </si>
  <si>
    <t>이엔드디</t>
  </si>
  <si>
    <t>2022.03.31</t>
  </si>
  <si>
    <t>시설투자완료</t>
  </si>
  <si>
    <t>이차전지 소재 생산설비의 CAPA 증대를 위한 투자</t>
  </si>
  <si>
    <t>https://dart.fss.or.kr/dsaf001/main.do?rcpNo=20220630900956</t>
  </si>
  <si>
    <t>코원테크</t>
  </si>
  <si>
    <t>건축자재 수급상황 변동에 따른 계약금액 및 기간 변경</t>
  </si>
  <si>
    <t>공장 건축 등 신규 시설 투자</t>
  </si>
  <si>
    <t>2차전지 시장 등 주요산업의 공정 자동화 수요 증대에 따른 생산능력(CAPA) 확대</t>
  </si>
  <si>
    <t>https://dart.fss.or.kr/dsaf001/main.do?rcpNo=20220630900539</t>
  </si>
  <si>
    <t>모나미</t>
  </si>
  <si>
    <t>2021.08.13</t>
  </si>
  <si>
    <t>물류창고 및 생산공장 신축물류창고 및 생산공장 신축</t>
  </si>
  <si>
    <t>매출증대를 위한 물류창고 확장 및 생산시설 투자</t>
  </si>
  <si>
    <t>https://dart.fss.or.kr/dsaf001/main.do?rcpNo=20220628800210</t>
  </si>
  <si>
    <t>2022.06.20</t>
  </si>
  <si>
    <t>7,700TEU급 컨테이너 선박 2척</t>
  </si>
  <si>
    <t>중장기 선대 확보를 위한 장기용선</t>
  </si>
  <si>
    <t>https://dart.fss.or.kr/dsaf001/main.do?rcpNo=20220620800628</t>
  </si>
  <si>
    <t>LG에너지솔루션</t>
  </si>
  <si>
    <t>2022.06.13</t>
  </si>
  <si>
    <t>오창2공장 신규 시설</t>
  </si>
  <si>
    <t xml:space="preserve"> 원통형 4680 배터리 공급 및 설비 완성도 향상을 위한 양산 라인 운영</t>
  </si>
  <si>
    <t>https://dart.fss.or.kr/dsaf001/main.do?rcpNo=20220613800192</t>
  </si>
  <si>
    <t>https://dart.fss.or.kr/dsaf001/main.do?rcpNo=20220613800121</t>
  </si>
  <si>
    <t>에스디생명공학</t>
  </si>
  <si>
    <t>2022.06.10</t>
  </si>
  <si>
    <t>건강식품 사업 확장을 위한 공장 신축 및 설비 증설</t>
  </si>
  <si>
    <t>https://dart.fss.or.kr/dsaf001/main.do?rcpNo=20220531900655</t>
  </si>
  <si>
    <t>한국내화</t>
  </si>
  <si>
    <t>CCN 내화물 제조용 기계장치, 건축물 등
(CO2포집 및 액화 탄산 가스 제조)</t>
  </si>
  <si>
    <t>내화물 사업 확대를 위한 공장 및 설비투자</t>
  </si>
  <si>
    <t>https://dart.fss.or.kr/dsaf001/main.do?rcpNo=20220531800570</t>
  </si>
  <si>
    <t>SGC에너지</t>
  </si>
  <si>
    <t>CCU 사업설비
(CO2포집 및 액화 탄산 가스 제조)</t>
  </si>
  <si>
    <t>- 온실가스 감축, 탄소중립(Net Zero) 정책 동참
- 친환경 사업영역 확대 및 미래 사업 경쟁력 강화</t>
  </si>
  <si>
    <t>https://dart.fss.or.kr/dsaf001/main.do?rcpNo=20220531800116</t>
  </si>
  <si>
    <t>나노씨엠에스</t>
  </si>
  <si>
    <t xml:space="preserve"> PSM(공정안전보고서)및 화학물질관리법에 따른 유해화학물질 영업허가에 필요한 보완공사로 인한 정정</t>
  </si>
  <si>
    <t>공장신설투자 - 탄천공장 건축</t>
  </si>
  <si>
    <t>생산설비 증설에 따른 원가절감을 통하여 보안물질 시장에서의 경쟁력을 확보하고,"화학물질 관리법"에 따른 취급시설을 구축하여 안전한 작업환경에서의 생산활동과 품질의 안정화를 위함.</t>
  </si>
  <si>
    <t>https://dart.fss.or.kr/dsaf001/main.do?rcpNo=20220530900706</t>
  </si>
  <si>
    <t>2021.06.17</t>
  </si>
  <si>
    <t>신규시설(공장증축)투자</t>
  </si>
  <si>
    <t>주력사업 매출확대로 인한 공장 증축투자</t>
  </si>
  <si>
    <t>https://dart.fss.or.kr/dsaf001/main.do?rcpNo=20220527900571</t>
  </si>
  <si>
    <t>공장신설을 위한 부지확보</t>
  </si>
  <si>
    <t>https://dart.fss.or.kr/dsaf001/main.do?rcpNo=20220527900504</t>
  </si>
  <si>
    <t>美 General Motors 社와의 합작투자를 통해 전기자동차(EV) 배터리용 High-Ni, NCMA N8x 양극재 제품 북미시장 진출을 위한 시설 투자</t>
  </si>
  <si>
    <t>https://dart.fss.or.kr/dsaf001/main.do?rcpNo=20220527800171</t>
  </si>
  <si>
    <t>https://dart.fss.or.kr/dsaf001/main.do?rcpNo=20220527800314</t>
  </si>
  <si>
    <t>삼진제약</t>
  </si>
  <si>
    <t>2022.03.28</t>
  </si>
  <si>
    <t>2022.05.18</t>
  </si>
  <si>
    <t>당사 오송공장 시설증설</t>
  </si>
  <si>
    <t>주사제 이전을 통한 EU-GMP급 주사제 라인 구축 및 원료합성공장 생산 능력 증대</t>
  </si>
  <si>
    <t>https://dart.fss.or.kr/dsaf001/main.do?rcpNo=20220518800103</t>
  </si>
  <si>
    <t>태광산업</t>
  </si>
  <si>
    <t>2022.05.12</t>
  </si>
  <si>
    <t xml:space="preserve"> 5G 통신용 광케이블 보강재 및 전기차 초고성능 타이어용 아라미드 수요 증가에 따른 증설</t>
  </si>
  <si>
    <t>https://dart.fss.or.kr/dsaf001/main.do?rcpNo=20220512800503</t>
  </si>
  <si>
    <t>토비스</t>
  </si>
  <si>
    <t xml:space="preserve"> 공장신설</t>
  </si>
  <si>
    <t xml:space="preserve"> 국내 전장용 디스플레이 모듈 생산을 위한 신규 공장 건립</t>
  </si>
  <si>
    <t>https://dart.fss.or.kr/dsaf001/main.do?rcpNo=20220511900206</t>
  </si>
  <si>
    <t>나인테크</t>
  </si>
  <si>
    <t>2021.11.29</t>
  </si>
  <si>
    <t>2022.04.28</t>
  </si>
  <si>
    <t>건설 준공일 연장</t>
  </si>
  <si>
    <t>신규시설투자(수원 고색 3산업단지)</t>
  </si>
  <si>
    <t>2차전지 수주증대 예상에 따른 생산 인프라구축
연구시설 인프라 구축
벤처타운 육성(스타트업 육성)</t>
  </si>
  <si>
    <t>https://dart.fss.or.kr/dsaf001/main.do?rcpNo=20220428900117</t>
  </si>
  <si>
    <t>케이앤제이</t>
  </si>
  <si>
    <t>시설투자(CVD SiC Focus Ring 생산설비증설)</t>
  </si>
  <si>
    <t xml:space="preserve"> 반도체공정용 소재/부품(CVD SiC Focus Ring 등) 수요증가에 대비한 생산설비(CVD챔버 등) 증설</t>
  </si>
  <si>
    <t>https://dart.fss.or.kr/dsaf001/main.do?rcpNo=20220428900266</t>
  </si>
  <si>
    <t>한국비엔씨</t>
  </si>
  <si>
    <t>세종공장 증설 시설투자</t>
  </si>
  <si>
    <t>항독성 간장엑스 생산시설 확보</t>
  </si>
  <si>
    <t>https://dart.fss.or.kr/dsaf001/main.do?rcpNo=20220425900210</t>
  </si>
  <si>
    <t>2022.04.21</t>
  </si>
  <si>
    <t>기계장치, 부대시설 등</t>
  </si>
  <si>
    <t>High-End 비메모리 반도체용 Large Body(대면적)
FCBGA 시장 수요에 대응하기 위한 생산설비 투자</t>
  </si>
  <si>
    <t>https://dart.fss.or.kr/dsaf001/main.do?rcpNo=20220421800521</t>
  </si>
  <si>
    <t>자화전자</t>
  </si>
  <si>
    <t>카메라 모듈 부품사업</t>
  </si>
  <si>
    <t>https://dart.fss.or.kr/dsaf001/main.do?rcpNo=20220413800413</t>
  </si>
  <si>
    <t>https://dart.fss.or.kr/dsaf001/main.do?rcpNo=20220413800623</t>
  </si>
  <si>
    <t>2022.04.08</t>
  </si>
  <si>
    <t>MLB사업부문</t>
  </si>
  <si>
    <t>신규공장 증설 및 설비투자</t>
  </si>
  <si>
    <t>https://dart.fss.or.kr/dsaf001/main.do?rcpNo=20220408800668</t>
  </si>
  <si>
    <t>2차전지용 테이프 생산성 향상</t>
  </si>
  <si>
    <t>https://dart.fss.or.kr/dsaf001/main.do?rcpNo=20221228900127</t>
  </si>
  <si>
    <t>2021.12.22</t>
  </si>
  <si>
    <t>투자금액 및 투자기간 정정</t>
  </si>
  <si>
    <t>공장건물 증축</t>
  </si>
  <si>
    <t>공장건물 증ㆍ개축을 통한 업무 효율성 향상</t>
  </si>
  <si>
    <t>http://dart.fss.or.kr/dsaf001/main.do?rcpNo=20210622800329</t>
  </si>
  <si>
    <t>조광페인트</t>
  </si>
  <si>
    <t>2021.11.30</t>
  </si>
  <si>
    <t>투자내역 및 투자기간 정정</t>
  </si>
  <si>
    <t>물류창고 신축</t>
  </si>
  <si>
    <t>물류 효율화 및 신사업 대비 공장부지 확보</t>
  </si>
  <si>
    <t>https://dart.fss.or.kr/dsaf001/main.do?rcpNo=20220331801033</t>
  </si>
  <si>
    <t>덱스터</t>
  </si>
  <si>
    <t>2021.08.31</t>
  </si>
  <si>
    <t>신규시설투자(OTT용 DI 및 음향 스튜디오 라인 증설)</t>
  </si>
  <si>
    <t>OTT용 DI 및 음향 스튜디오 라인 증설 목적</t>
  </si>
  <si>
    <t>https://dart.fss.or.kr/dsaf001/main.do?rcpNo=20220331901872</t>
  </si>
  <si>
    <t>2021.08.18</t>
  </si>
  <si>
    <t>2차전지용 소재 임가공을 위한 공장 및 설비 추가투자</t>
  </si>
  <si>
    <t>https://dart.fss.or.kr/dsaf001/main.do?rcpNo=20220331902183</t>
  </si>
  <si>
    <t>KEC</t>
  </si>
  <si>
    <t>2021.11.15</t>
  </si>
  <si>
    <t>구미공장 생산시설 투자</t>
  </si>
  <si>
    <t xml:space="preserve"> 수입 의존 반도체 제품의 국산화 및 수요 증가에 따른 공급력 확대</t>
  </si>
  <si>
    <t>https://dart.fss.or.kr/dsaf001/main.do?rcpNo=20220331802844</t>
  </si>
  <si>
    <t>lx하우시스</t>
  </si>
  <si>
    <t>2020.08.25</t>
  </si>
  <si>
    <t>2022.03.30</t>
  </si>
  <si>
    <t>단열재 공장증설</t>
  </si>
  <si>
    <t>단열재 경쟁력 강화 및 시장수요 대응</t>
  </si>
  <si>
    <t>https://dart.fss.or.kr/dsaf001/main.do?rcpNo=20220330802288</t>
  </si>
  <si>
    <t>티엘비</t>
  </si>
  <si>
    <t>2021.04.05</t>
  </si>
  <si>
    <t>2022.03.10</t>
  </si>
  <si>
    <t>Covid-19 영향에 따른 설비투자 종료일 변경</t>
  </si>
  <si>
    <t>신규사업 및 메모리모듈 등 수요증대 대응을 위한 설비 증설</t>
  </si>
  <si>
    <t>https://dart.fss.or.kr/dsaf001/main.do?rcpNo=20220310900420</t>
  </si>
  <si>
    <t>대양제지</t>
  </si>
  <si>
    <t>2022.03.04</t>
  </si>
  <si>
    <t>안산공장 복구를 위한 신규시설투자</t>
  </si>
  <si>
    <t>전주공장 탄소섬유 생산라전주공장 탄소섬유 생산라인 증설
전주공장 탄소섬유 생산라인 증설</t>
  </si>
  <si>
    <t xml:space="preserve"> 수소 및 CNG용 고압용기, 태양광용 단열재 등
친환경 제품 수요증가에 따른 증설</t>
  </si>
  <si>
    <t>https://dart.fss.or.kr/dsaf001/main.do?rcpNo=20220302800940</t>
  </si>
  <si>
    <t>제넨바이오</t>
  </si>
  <si>
    <t>2020.02.06</t>
  </si>
  <si>
    <t>공사기간 변경에 따른 정정</t>
  </si>
  <si>
    <t>평택 제넨코어센터 건설</t>
  </si>
  <si>
    <t>이종이식제품 생산을 위한 GMP시설, 원료생산을 위한 DPF 시설, 제품검증을 위한 비임상시험시설 등을 포함한 복합단지 조성</t>
  </si>
  <si>
    <t>https://dart.fss.or.kr/dsaf001/main.do?rcpNo=20220228900931</t>
  </si>
  <si>
    <t>2019.11.11</t>
  </si>
  <si>
    <t>2022.02.25</t>
  </si>
  <si>
    <t xml:space="preserve"> 기존 투자 공정의 추가 성능 고도화 작업을 위한 투자금액 및 일정 등 계획 변동</t>
  </si>
  <si>
    <t>음극재 제조설비</t>
  </si>
  <si>
    <t>2차전지 시장 수요에 대응한 생산설비 증설</t>
  </si>
  <si>
    <t>https://dart.fss.or.kr/dsaf001/main.do?rcpNo=20220225800347</t>
  </si>
  <si>
    <t>lg이노텍</t>
  </si>
  <si>
    <t>2022.02.22</t>
  </si>
  <si>
    <t>기판소재사업</t>
  </si>
  <si>
    <t>FC-BGA 사업 양산라인 구축 투자</t>
  </si>
  <si>
    <t>https://dart.fss.or.kr/dsaf001/main.do?rcpNo=20220222800890</t>
  </si>
  <si>
    <t>한창제지</t>
  </si>
  <si>
    <t>2020.11.16</t>
  </si>
  <si>
    <t>2022.02.18</t>
  </si>
  <si>
    <t>백판지 생산설비(5호기)</t>
  </si>
  <si>
    <t>노후화된 2호기 설비 처분에 따른 대체투자
생산Capacity 증가로 인한 수익성 극대화 및 품질향상 등 경쟁력 강화</t>
  </si>
  <si>
    <t>https://dart.fss.or.kr/dsaf001/main.do?rcpNo=20220218800591</t>
  </si>
  <si>
    <t>수소 Value Chain의 핵심인 해상운송역량 확보 및 친환경 연료 선대 확장</t>
  </si>
  <si>
    <t>https://dart.fss.or.kr/dsaf001/main.do?rcpNo=20220218800847</t>
  </si>
  <si>
    <t>2021.07.27</t>
  </si>
  <si>
    <t>2022.02.03</t>
  </si>
  <si>
    <t>수소연료전지 소재·부품 연구개발 및 생산시설 확대를 위한 시설투자</t>
  </si>
  <si>
    <t>http://dart.fss.or.kr/dsaf001/main.do?rcpNo=20210727900244</t>
  </si>
  <si>
    <t>2022.01.26</t>
  </si>
  <si>
    <t>광학솔루션 사업 경쟁력 확보 및신모델 Capa. 확보</t>
  </si>
  <si>
    <t>https://dart.fss.or.kr/dsaf001/main.do?rcpNo=20220126800533</t>
  </si>
  <si>
    <t>차바이오텍</t>
  </si>
  <si>
    <t>CDMO GMP 신규시설 투자</t>
  </si>
  <si>
    <t>글로벌 세포유전자 치료제 CDMO 생산시설 및 바이오뱅크 구축</t>
  </si>
  <si>
    <t>https://dart.fss.or.kr/dsaf001/main.do?rcpNo=20220120900344</t>
  </si>
  <si>
    <t>2022.01.25</t>
  </si>
  <si>
    <t>OLED 신규 식각인쇄사업을 위한 설비투자</t>
  </si>
  <si>
    <t>https://dart.fss.or.kr/dsaf001/main.do?rcpNo=20220125900302</t>
  </si>
  <si>
    <t>하나제약</t>
  </si>
  <si>
    <t>2019.11.12</t>
  </si>
  <si>
    <t>2022.01.24</t>
  </si>
  <si>
    <t>계약기간의 변경</t>
  </si>
  <si>
    <t>하길 주사제 공장 신축</t>
  </si>
  <si>
    <t>주사제 제품 생산능력 증대 및 완제시설 구축
국제기준(EU-GMP, JGMP) 공장 신축을 통한 수출동력 확보</t>
  </si>
  <si>
    <t>https://dart.fss.or.kr/dsaf001/main.do?rcpNo=20220124800574</t>
  </si>
  <si>
    <t xml:space="preserve"> EUV용 블랭크마스크 기술개발을 위한 신규장비투자</t>
  </si>
  <si>
    <t>https://dart.fss.or.kr/dsaf001/main.do?rcpNo=20220124900485</t>
  </si>
  <si>
    <t>CNG제약</t>
  </si>
  <si>
    <t>2022.01.20</t>
  </si>
  <si>
    <t>https://dart.fss.or.kr/dsaf001/main.do?rcpNo=20220120900360</t>
  </si>
  <si>
    <t>신성이엔지</t>
  </si>
  <si>
    <t>2022.01.19</t>
  </si>
  <si>
    <t>증평2부지 산업환경 설비 생산 공장</t>
  </si>
  <si>
    <t xml:space="preserve"> OAC 등 산업환경 설비 생산라인 투자를 통한 사업 다각화 및 매출 확대</t>
  </si>
  <si>
    <t>https://dart.fss.or.kr/dsaf001/main.do?rcpNo=20220119800116</t>
  </si>
  <si>
    <t>파라텍</t>
  </si>
  <si>
    <t>2022.01.07</t>
  </si>
  <si>
    <t>소방제품 및 제조사업 확장을 위한 공장 증축 및 설비 이전</t>
  </si>
  <si>
    <t>https://dart.fss.or.kr/dsaf001/main.do?rcpNo=20220107900516</t>
  </si>
  <si>
    <t>일진머티리얼즈</t>
  </si>
  <si>
    <t>2021.06.30</t>
  </si>
  <si>
    <t>2021.12.31</t>
  </si>
  <si>
    <t>투자기간 종료</t>
  </si>
  <si>
    <t>전기자동차 배터리용 음극집전체(I2B) 생산설비</t>
  </si>
  <si>
    <t>신규시설투자를 통한 전기자동차용 리튬이온전지
음극집전체(I2B) 생산능력을 확보해
회사의 성장동력 강화 및 경쟁력 확보</t>
  </si>
  <si>
    <t>http://dart.fss.or.kr/dsaf001/main.do?rcpNo=20210630800864</t>
  </si>
  <si>
    <t>2021.04.21</t>
  </si>
  <si>
    <t>투자기간정정</t>
  </si>
  <si>
    <t>12" OLED DDI Test 설비 신규 투자</t>
  </si>
  <si>
    <t>https://dart.fss.or.kr/dsaf001/main.do?rcpNo=20211231900024\</t>
  </si>
  <si>
    <t>한국특강</t>
  </si>
  <si>
    <t>칠서제강소 압연공장 및 제조설비</t>
  </si>
  <si>
    <t>철근 생산을 통한 제품 다양화 및 기업 수익성 제고</t>
  </si>
  <si>
    <t>https://dart.fss.or.kr/dsaf001/main.do?rcpNo=20211231800478</t>
  </si>
  <si>
    <t>선진뷰티사이언스</t>
  </si>
  <si>
    <t>2021.03.09</t>
  </si>
  <si>
    <t>2021.12.30</t>
  </si>
  <si>
    <t>시설투자</t>
  </si>
  <si>
    <t>장항공장증설 및 CAPA증대를 위한 설비투자</t>
  </si>
  <si>
    <t>https://dart.fss.or.kr/dsaf001/main.do?rcpNo=20211230900888</t>
  </si>
  <si>
    <t>2021.05.06</t>
  </si>
  <si>
    <t>FOPLP/FOWLP Test 설비 신규 투자</t>
  </si>
  <si>
    <t>https://dart.fss.or.kr/dsaf001/main.do?rcpNo=20211229900406</t>
  </si>
  <si>
    <t>2020.08.27</t>
  </si>
  <si>
    <t>2021.12.23</t>
  </si>
  <si>
    <t>올리고뉴클레오타이드 생산 설비 증설</t>
  </si>
  <si>
    <t>1. 만성질환 올리고핵산치료제 상업화 물량 공급
2. 올리고 프로젝트 수 증가에 따른 생산 라인 추가
3. 코로나바이러스 백신용 올리고뉴클레오타이드 수요 증가에 대비</t>
  </si>
  <si>
    <t>http://dart.fss.or.kr/dsaf001/main.do?rcpNo=20211223900229</t>
  </si>
  <si>
    <t>이브이첨단소재</t>
  </si>
  <si>
    <t>2021.12.16</t>
  </si>
  <si>
    <t>투자종료에 따른 보고</t>
  </si>
  <si>
    <t>베트남공장 신규설립</t>
  </si>
  <si>
    <t>베트남 시설투자로 인한 원가절감 및 수주증가</t>
  </si>
  <si>
    <t>http://dart.fss.or.kr/dsaf001/main.do?rcpNo=20211216900890</t>
  </si>
  <si>
    <t>2021.12.13</t>
  </si>
  <si>
    <t>비메모리 반도체(fcBGA) 시장수요 증가에 대응하기 위한 생산설비 투자</t>
  </si>
  <si>
    <t>http://dart.fss.or.kr/dsaf001/main.do?rcpNo=20211213800549</t>
  </si>
  <si>
    <t>2차전지 시장 수요에 대응한 양극재 생산설비 증설</t>
  </si>
  <si>
    <t>http://dart.fss.or.kr/dsaf001/main.do?rcpNo=20211213800200</t>
  </si>
  <si>
    <t>2020.10.06</t>
  </si>
  <si>
    <t>2021.12.09</t>
  </si>
  <si>
    <t>울산공장의 원료의약품 생산설비 증설</t>
  </si>
  <si>
    <t>원료의약품(Nucleosides, mPEGs)의 시장 확대 및 수주량 증가에 대응하기 위한 생산설비 증설</t>
  </si>
  <si>
    <t>http://dart.fss.or.kr/dsaf001/main.do?rcpNo=20211209800329</t>
  </si>
  <si>
    <t>엔시스</t>
  </si>
  <si>
    <t>2021.11.26</t>
  </si>
  <si>
    <t>CAPA증대를 위한 신공장(아산) 공사 계약</t>
  </si>
  <si>
    <t>2차전지 수주증대에 따른 생산시설 확보</t>
  </si>
  <si>
    <t>http://dart.fss.or.kr/dsaf001/main.do?rcpNo=20211126900161</t>
  </si>
  <si>
    <t>2021.11.24</t>
  </si>
  <si>
    <t>1. 현재 원료를 공급 중인 만성질환 올리고 신약들의 상업화에 대비
2. 경쟁사들보다 한발 앞선 선제적인 투자로 신규 수주 확대</t>
  </si>
  <si>
    <t>http://dart.fss.or.kr/dsaf001/main.do?rcpNo=20211124900177</t>
  </si>
  <si>
    <t>2021.11.23</t>
  </si>
  <si>
    <t xml:space="preserve"> 고부가가치 제품 및 시장 수요증대 대응을 위한
생산설비 확충</t>
  </si>
  <si>
    <t>http://dart.fss.or.kr/dsaf001/main.do?rcpNo=20211123800135</t>
  </si>
  <si>
    <t>2021.11.22</t>
  </si>
  <si>
    <t>압연 2라인 신규 증설</t>
  </si>
  <si>
    <t>리튬이온배터리(LIB)용 알루미늄박 수요증가 대응</t>
  </si>
  <si>
    <t>http://dart.fss.or.kr/dsaf001/main.do?rcpNo=20211122800242</t>
  </si>
  <si>
    <t>2차 전지용 셀 파우치(Cell Pouch) 신규 사업투자</t>
  </si>
  <si>
    <t>http://dart.fss.or.kr/dsaf001/main.do?rcpNo=20211119800099</t>
  </si>
  <si>
    <t>삼강엠앤티</t>
  </si>
  <si>
    <t>2021.11.17</t>
  </si>
  <si>
    <t>신규공장 건설</t>
  </si>
  <si>
    <t>해상풍력 시장 성장에 따른 해상풍력 발전 설비 하부구조물 전문 생산설비 구축</t>
  </si>
  <si>
    <t>http://dart.fss.or.kr/dsaf001/main.do?rcpNo=20211117900140</t>
  </si>
  <si>
    <t>2020.09.16</t>
  </si>
  <si>
    <t>2021.10.29</t>
  </si>
  <si>
    <t>공장건축 및 신규시설 투자</t>
  </si>
  <si>
    <t>http://dart.fss.or.kr/dsaf001/main.do?rcpNo=20211029900294</t>
  </si>
  <si>
    <t>유니테스트</t>
  </si>
  <si>
    <t>신규시설투자등</t>
  </si>
  <si>
    <t>생산 Capa 확대 및 생산성 향상을 위한 신공장 증설</t>
  </si>
  <si>
    <t>http://dart.fss.or.kr/dsaf001/main.do?rcpNo=20211029900449</t>
  </si>
  <si>
    <t>2021.02.17</t>
  </si>
  <si>
    <t>2021.10.28</t>
  </si>
  <si>
    <t>신규시설투자 계획 변경에 따른 정정 공시</t>
  </si>
  <si>
    <t>광학솔루션 사업 경쟁력 확보 및 강화</t>
  </si>
  <si>
    <t>http://dart.fss.or.kr/dsaf001/main.do?rcpNo=20210217800458</t>
  </si>
  <si>
    <t>2021.10.26</t>
  </si>
  <si>
    <t xml:space="preserve"> - 고로슬래그시멘트 생산 신규시설투자 및 공장신설
- 목포권역 출하기지 확보</t>
  </si>
  <si>
    <t>http://dart.fss.or.kr/dsaf001/main.do?rcpNo=20211026900274</t>
  </si>
  <si>
    <t>재영솔루텍</t>
  </si>
  <si>
    <t>2021.10.20</t>
  </si>
  <si>
    <t>삼성전자 스마트폰에 탑재되는 고사양 OIS Actuator의 물량 증대에 따른 추가 생산 CAPA 확보</t>
  </si>
  <si>
    <t>http://dart.fss.or.kr/dsaf001/main.do?rcpNo=20211020900115</t>
  </si>
  <si>
    <t>하나마이크론</t>
  </si>
  <si>
    <t>2021.08.25</t>
  </si>
  <si>
    <t>2021.10.19</t>
  </si>
  <si>
    <t>투자대상 설비의 매입 거래조건 확정으로 인한 기재정정</t>
  </si>
  <si>
    <t>시설투자(반도체 TEST 설비)</t>
  </si>
  <si>
    <t>비메모리 TEST 시장 대응을 위한 생산능력 확보</t>
  </si>
  <si>
    <t>http://dart.fss.or.kr/dsaf001/main.do?rcpNo=20211019900431</t>
  </si>
  <si>
    <t>이랜시스</t>
  </si>
  <si>
    <t>2021.01.07</t>
  </si>
  <si>
    <t>2021.09.30</t>
  </si>
  <si>
    <t>건축자재 입고 지연에 따른 공사 기간 연장</t>
  </si>
  <si>
    <t>사업 확장에 따른 공장 신축공사</t>
  </si>
  <si>
    <t>https://dart.fss.or.kr/dsaf001/main.do?rcpNo=20210930900266</t>
  </si>
  <si>
    <t>홍성공장 그라스울 증설</t>
  </si>
  <si>
    <t>그라스울 수요증가 전망에 따른 증설</t>
  </si>
  <si>
    <t>https://dart.fss.or.kr/dsaf001/main.do?rcpNo=20210930800784</t>
  </si>
  <si>
    <t>엘비세미콘</t>
  </si>
  <si>
    <t>2021.09.28</t>
  </si>
  <si>
    <t>신규시설투자(기계장치,토지,건물 등)</t>
  </si>
  <si>
    <t>비메모리 반도체 Test 설비 증설 및 관련 토지, 건물 취득</t>
  </si>
  <si>
    <t>http://dart.fss.or.kr/dsaf001/main.do?rcpNo=20210928900301</t>
  </si>
  <si>
    <t>인팩</t>
  </si>
  <si>
    <t>2021.09.17</t>
  </si>
  <si>
    <t>제천 공장 신규 설립</t>
  </si>
  <si>
    <t>생산시설 확충을 위한 공장 신설</t>
  </si>
  <si>
    <t>http://dart.fss.or.kr/dsaf001/main.do?rcpNo=20210917800260</t>
  </si>
  <si>
    <t>2021.09.15</t>
  </si>
  <si>
    <t xml:space="preserve"> 반도체 Substrate(리드프레임, Package Substrate)
제조용 기계장치, 부대시설 등</t>
  </si>
  <si>
    <t>시장 및 고객 수요 증가에 대응하기 위한 생산능력 확대</t>
  </si>
  <si>
    <t>http://dart.fss.or.kr/dsaf001/main.do?rcpNo=20210915800236</t>
  </si>
  <si>
    <t>SDN</t>
  </si>
  <si>
    <t>2021.09.09</t>
  </si>
  <si>
    <t>고출력 모듈 생산시설 투자를 통한 경쟁력 확보 및 수익성 개선</t>
  </si>
  <si>
    <t>http://dart.fss.or.kr/dsaf001/main.do?rcpNo=20210909900263</t>
  </si>
  <si>
    <t>프로스테믹스</t>
  </si>
  <si>
    <t>2021.02.09</t>
  </si>
  <si>
    <t>2021.09.08</t>
  </si>
  <si>
    <t>공사기간 및 금액 변경으로 인한 정정</t>
  </si>
  <si>
    <t>진천공장 증축을 통한 생활건강사업부문 강화</t>
  </si>
  <si>
    <t>http://dart.fss.or.kr/dsaf001/main.do?rcpNo=20210908900240</t>
  </si>
  <si>
    <t>NF3 증설 투자</t>
  </si>
  <si>
    <t>NF3 수요 증가에 따른 증설</t>
  </si>
  <si>
    <t>http://dart.fss.or.kr/dsaf001/main.do?rcpNo=20210908800370</t>
  </si>
  <si>
    <t>고영</t>
  </si>
  <si>
    <t>신규시설투자(공장 신설)</t>
  </si>
  <si>
    <t>산업용 검사 장비 생산능력 증대 및 의료장비 생산 시설 확보</t>
  </si>
  <si>
    <t>http://dart.fss.or.kr/dsaf001/main.do?rcpNo=20210908900283</t>
  </si>
  <si>
    <t>한농화성</t>
  </si>
  <si>
    <t>2021.09.03</t>
  </si>
  <si>
    <t>대산공장 생산시설 투자</t>
  </si>
  <si>
    <t>기존 제품군 대산공장 생산설비 증설</t>
  </si>
  <si>
    <t>http://dart.fss.or.kr/dsaf001/main.do?rcpNo=20210903800178</t>
  </si>
  <si>
    <t>2021.09.02</t>
  </si>
  <si>
    <t>삼성전자 스마트폰에 탑재되는 고사양 OIS Actuator 카메라 모듈 생산라인 구축</t>
  </si>
  <si>
    <t>http://dart.fss.or.kr/dsaf001/main.do?rcpNo=20210902900124</t>
  </si>
  <si>
    <t>대유</t>
  </si>
  <si>
    <t>신규 시설투자 및 공장신설(괴산)</t>
  </si>
  <si>
    <t>최첨단 자동화 시스템 구축으로, 동종업계 최대의 생산시설 확보</t>
  </si>
  <si>
    <t>http://dart.fss.or.kr/dsaf001/main.do?rcpNo=20210902900349</t>
  </si>
  <si>
    <t>엔에스쇼핑</t>
  </si>
  <si>
    <t>2021.09.01</t>
  </si>
  <si>
    <t>물류센터 및 기계설비</t>
  </si>
  <si>
    <t>물류센터 신축</t>
  </si>
  <si>
    <t>http://dart.fss.or.kr/dsaf001/main.do?rcpNo=20210827800172</t>
  </si>
  <si>
    <t>에쎈테크</t>
  </si>
  <si>
    <t>2020.09.01</t>
  </si>
  <si>
    <t>신규투자 완료(안산공장) 및 투자금액 변경</t>
  </si>
  <si>
    <t>신규 시설투자(건물, 기계장치 등)</t>
  </si>
  <si>
    <t>신제품 양산 및 증산을 위한 신규 공장(건물) 및 기계장치등 투자</t>
  </si>
  <si>
    <t>http://dart.fss.or.kr/dsaf001/main.do?rcpNo=20210831900296</t>
  </si>
  <si>
    <t>2021.01.26</t>
  </si>
  <si>
    <t>시설투자 완료 및 투자금액확정</t>
  </si>
  <si>
    <t>중국 및 국내외 플렉서블 디스플레이 전용 양산 설비로 향후 수요 대응</t>
  </si>
  <si>
    <t>http://dart.fss.or.kr/dsaf001/main.do?rcpNo=20210831900121</t>
  </si>
  <si>
    <t>2021.01.27</t>
  </si>
  <si>
    <t>설계변경 및 폭염 등으로 인한 공사 연장</t>
  </si>
  <si>
    <t>신규시설(신규시설장비 등) 투자</t>
  </si>
  <si>
    <t>Capa 증대에 따른 신규시설 투자</t>
  </si>
  <si>
    <t>http://dart.fss.or.kr/dsaf001/main.do?rcpNo=20210831900388</t>
  </si>
  <si>
    <t>2021.05.07</t>
  </si>
  <si>
    <t>2021.08.30</t>
  </si>
  <si>
    <t>신사업투자를 위한 신규시설 확대</t>
  </si>
  <si>
    <t>http://dart.fss.or.kr/dsaf001/main.do?rcpNo=20210830900288</t>
  </si>
  <si>
    <t>휴켐스</t>
  </si>
  <si>
    <t>2021.08.26</t>
  </si>
  <si>
    <t xml:space="preserve"> MNB 공장 신설</t>
  </si>
  <si>
    <t>고객사 수요 증가에 따른 공장 신설 및 이를 통한 매출 및 이익 증대</t>
  </si>
  <si>
    <t>http://dart.fss.or.kr/dsaf001/main.do?rcpNo=20210826800264</t>
  </si>
  <si>
    <t>현대모비스</t>
  </si>
  <si>
    <t>2021.08.20</t>
  </si>
  <si>
    <t xml:space="preserve"> 수소연료전지 제품 경쟁력 강화 및 양산 효율화를 위한 차세대 제품 양산라인 투자</t>
  </si>
  <si>
    <t>http://dart.fss.or.kr/dsaf001/main.do?rcpNo=20210820800298</t>
  </si>
  <si>
    <t>중앙백신</t>
  </si>
  <si>
    <t>2019.10.21</t>
  </si>
  <si>
    <t>2021.08.19</t>
  </si>
  <si>
    <t>신규투자 완료</t>
  </si>
  <si>
    <t>제조 및 부대시설 증개축</t>
  </si>
  <si>
    <t>http://dart.fss.or.kr/dsaf001/main.do?rcpNo=20210819900091</t>
  </si>
  <si>
    <t>피제이전자</t>
  </si>
  <si>
    <t>2020.12.01</t>
  </si>
  <si>
    <t>설계변경 등 금액 변경에 따른 정정</t>
  </si>
  <si>
    <t>생산Capa 확대 및 생산성 향상을 위한 공장신설</t>
  </si>
  <si>
    <t>http://dart.fss.or.kr/dsaf001/main.do?rcpNo=20210810900265</t>
  </si>
  <si>
    <t>2021.08.05</t>
  </si>
  <si>
    <t>고부가가치 MSAP 기판 수요 증대
대응을 위한 생산설비 추가증설</t>
  </si>
  <si>
    <t>http://dart.fss.or.kr/dsaf001/main.do?rcpNo=20210805900317</t>
  </si>
  <si>
    <t>2021.07.23</t>
  </si>
  <si>
    <t>Dry 컨테이너박스 17,000대</t>
  </si>
  <si>
    <t>2021년 하반기 소요 컨테이너 기기 조기 발주</t>
  </si>
  <si>
    <t>http://dart.fss.or.kr/dsaf001/main.do?rcpNo=20210723800508</t>
  </si>
  <si>
    <t>2021.07.22</t>
  </si>
  <si>
    <t xml:space="preserve"> 해저케이블 생산설비.</t>
  </si>
  <si>
    <t>해저케이블 생산 능력 확대</t>
  </si>
  <si>
    <t>http://dart.fss.or.kr/dsaf001/main.do?rcpNo=20210722800446</t>
  </si>
  <si>
    <t>2021.07.18</t>
  </si>
  <si>
    <t>중소형 OLED 시설 투자</t>
  </si>
  <si>
    <t>중소형 OLED 시장 대응을 위한 생산능력 확보</t>
  </si>
  <si>
    <t>http://dart.fss.or.kr/dsaf001/main.do?rcpNo=20210817800016</t>
  </si>
  <si>
    <t>2021.07.15</t>
  </si>
  <si>
    <t xml:space="preserve"> EUV용 블랭크마스크 및 펠리클 기술개발과 양산을 위한 신규장비 추가투자</t>
  </si>
  <si>
    <t>http://dart.fss.or.kr/dsaf001/main.do?rcpNo=20210715900056</t>
  </si>
  <si>
    <t>2021.07.14</t>
  </si>
  <si>
    <t>http://dart.fss.or.kr/dsaf001/main.do?rcpNo=20210714800145</t>
  </si>
  <si>
    <t>조일알미늄</t>
  </si>
  <si>
    <t>2021.07.12</t>
  </si>
  <si>
    <t>열간압연설비 등</t>
  </si>
  <si>
    <t xml:space="preserve"> 친환경 전기차 수요증가에 따른 2차전지 소재공급 확대</t>
  </si>
  <si>
    <t>http://dart.fss.or.kr/dsaf001/main.do?rcpNo=20210712800301</t>
  </si>
  <si>
    <t>서플러스글로벌</t>
  </si>
  <si>
    <t>2018.08.17</t>
  </si>
  <si>
    <t>2021.07.08</t>
  </si>
  <si>
    <t>임시사용 승인으로 투자 기간 종료일 확정</t>
  </si>
  <si>
    <t>신규시설(공장신축등)투자</t>
  </si>
  <si>
    <t>반도체 중고장비 클러스터를 조성하여 고객에게 구매 편리성 및 One-Stop Solution을 제공하여 글로벌 Market Share 및 사업 확대</t>
  </si>
  <si>
    <t>http://dart.fss.or.kr/dsaf001/main.do?rcpNo=20210621900333</t>
  </si>
  <si>
    <t>동납합성</t>
  </si>
  <si>
    <t>2021.07.07</t>
  </si>
  <si>
    <t>http://dart.fss.or.kr/dsaf001/main.do?rcpNo=20210707800108</t>
  </si>
  <si>
    <t>2020.11.30</t>
  </si>
  <si>
    <t>FOPLP Test 설비 신규 투자</t>
  </si>
  <si>
    <t>http://dart.fss.or.kr/dsaf001/main.do?rcpNo=20210630900395</t>
  </si>
  <si>
    <t>2020.06.12</t>
  </si>
  <si>
    <t>EUV용 블랭크마스크 및 펠리클 기술개발과 양산을 위한 신규장비투자</t>
  </si>
  <si>
    <t>http://dart.fss.or.kr/dsaf001/main.do?rcpNo=20210630900334</t>
  </si>
  <si>
    <t>2020.11.11</t>
  </si>
  <si>
    <t>중국 현지 컨테이너 박스 제작 업체의 기기 제작 지연에 따른 인도 지연</t>
  </si>
  <si>
    <t>Dry 컨테이너박스 43,000대
Reefer 컨테이너박스 1,200대</t>
  </si>
  <si>
    <t>2021년 상반기 필요 컨테이너 기기 확보</t>
  </si>
  <si>
    <t>http://dart.fss.or.kr/dsaf001/main.do?rcpNo=20210630800976</t>
  </si>
  <si>
    <t>2021.06.25</t>
  </si>
  <si>
    <t>투자금액 변경 등에 따른 정정공시</t>
  </si>
  <si>
    <t>신규시설투자(버츄얼 프로덕션 스튜디오)</t>
  </si>
  <si>
    <t>차세대 실감형 콘텐츠 제작시스템인 버츄얼 프로덕션 스튜디오 구축</t>
  </si>
  <si>
    <t>http://dart.fss.or.kr/dsaf001/main.do?rcpNo=20210625900435</t>
  </si>
  <si>
    <t>한국팩키지</t>
  </si>
  <si>
    <t>2021.11.25</t>
  </si>
  <si>
    <t>Covid-19 영향으로 설비투자 종료일정 변경</t>
  </si>
  <si>
    <t>신규설비투자</t>
  </si>
  <si>
    <t>생산능력 확대</t>
  </si>
  <si>
    <t>http://dart.fss.or.kr/dsaf001/main.do?rcpNo=20211125900340</t>
  </si>
  <si>
    <t>기계장치</t>
  </si>
  <si>
    <t>신규 설비 투자</t>
  </si>
  <si>
    <t>http://dart.fss.or.kr/dsaf001/main.do?rcpNo=20210623800480</t>
  </si>
  <si>
    <t>삼양식품</t>
  </si>
  <si>
    <t>2017.11.23</t>
  </si>
  <si>
    <t>2021.06.18</t>
  </si>
  <si>
    <t>투자 대상 증가에 따른 투자금액 증액</t>
  </si>
  <si>
    <t>생산효율 및 원가절감</t>
  </si>
  <si>
    <t>http://dart.fss.or.kr/dsaf001/main.do?rcpNo=20211222800268</t>
  </si>
  <si>
    <t>공장등록 완료로 인한 투자기간 종료일 정정 및 첨부 정정</t>
  </si>
  <si>
    <t>공기청정기 및 진공청소기 필터 물량 증가에 따른 생산 CAPA 증설</t>
  </si>
  <si>
    <t>http://dart.fss.or.kr/dsaf001/main.do?rcpNo=20210617900485</t>
  </si>
  <si>
    <t>경남제약헬스케어</t>
  </si>
  <si>
    <t>2020.12.02</t>
  </si>
  <si>
    <t>2021.06.14</t>
  </si>
  <si>
    <t xml:space="preserve"> 신규 시설투자</t>
  </si>
  <si>
    <t xml:space="preserve"> MB필터 라인 투자</t>
  </si>
  <si>
    <t>http://dart.fss.or.kr/dsaf001/main.do?rcpNo=20210614900195</t>
  </si>
  <si>
    <t>쎄노텍</t>
  </si>
  <si>
    <t>강소기업 100 관련 담체 전용공장 투자</t>
  </si>
  <si>
    <t>http://dart.fss.or.kr/dsaf001/main.do?rcpNo=20210614900280</t>
  </si>
  <si>
    <t>핌스</t>
  </si>
  <si>
    <t>2021.02.05</t>
  </si>
  <si>
    <t>2021.05.28</t>
  </si>
  <si>
    <t>신규시설(신규기계장치)투자</t>
  </si>
  <si>
    <t>OLED 메탈 마스크 생산/검사 설비 신규도입</t>
  </si>
  <si>
    <t>http://dart.fss.or.kr/dsaf001/main.do?rcpNo=20210528900411</t>
  </si>
  <si>
    <t>휴스틸</t>
  </si>
  <si>
    <t>2021.05.27</t>
  </si>
  <si>
    <t>군산공장 신설</t>
  </si>
  <si>
    <t>판매확대(대구경 강관시장 진입)를 위한 신규설비 투자</t>
  </si>
  <si>
    <t>http://dart.fss.or.kr/dsaf001/main.do?rcpNo=20210527800415</t>
  </si>
  <si>
    <t>2021.05.25</t>
  </si>
  <si>
    <t>시설 증설</t>
  </si>
  <si>
    <t>전기자동차(EV) 배터리용 하이니켈계 NCM 양극소재 공급 물량 확대를 위한 시설 투자</t>
  </si>
  <si>
    <t>http://dart.fss.or.kr/dsaf001/main.do?rcpNo=20210525900559</t>
  </si>
  <si>
    <t>지역난방공사</t>
  </si>
  <si>
    <t>집단에너지 확대 보급</t>
  </si>
  <si>
    <t>http://dart.fss.or.kr/dsaf001/main.do?rcpNo=20210525800371</t>
  </si>
  <si>
    <t>이연제약</t>
  </si>
  <si>
    <t>2019.02.25</t>
  </si>
  <si>
    <t>2021.05.14</t>
  </si>
  <si>
    <t>투자규모 변경</t>
  </si>
  <si>
    <t>충주 케미칼의약품 공장</t>
  </si>
  <si>
    <t>cGMP 기준 케미칼의약품 공장 신축을 통한 공급능력 확대 및 경쟁력 확보</t>
  </si>
  <si>
    <t>http://dart.fss.or.kr/dsaf001/main.do?rcpNo=20210514801236</t>
  </si>
  <si>
    <t>신규시설투자(3-2단계)</t>
  </si>
  <si>
    <t>전기차(EV)용 2차전지 양극활물질 수요 대응을 위한 긴급 CAPA 증설</t>
  </si>
  <si>
    <t>http://dart.fss.or.kr/dsaf001/main.do?rcpNo=20210514900135</t>
  </si>
  <si>
    <t>KSS해운</t>
  </si>
  <si>
    <t>2021.05.13</t>
  </si>
  <si>
    <t>86,000CBM VLGC(Very Large Gas Carrier) 2척</t>
  </si>
  <si>
    <t>중장기 선박확보(생산설비 증대) 및 영업력 확대</t>
  </si>
  <si>
    <t>http://dart.fss.or.kr/dsaf001/main.do?rcpNo=20210513800142</t>
  </si>
  <si>
    <t>LG유플러스</t>
  </si>
  <si>
    <t>2021.05.11</t>
  </si>
  <si>
    <t>IDC 신규센터 구축</t>
  </si>
  <si>
    <t>고객 수요 증가에 따른 IDC 신규센터 구축</t>
  </si>
  <si>
    <t>http://dart.fss.or.kr/dsaf001/main.do?rcpNo=20210511800593</t>
  </si>
  <si>
    <t>2021.03.11</t>
  </si>
  <si>
    <t>생산Capa 확대 및 생산성 향상을 위한 증축</t>
  </si>
  <si>
    <t>http://dart.fss.or.kr/dsaf001/main.do?rcpNo=20210507600579</t>
  </si>
  <si>
    <t>2021.04.26</t>
  </si>
  <si>
    <t xml:space="preserve">(생산라인) 시설증설
</t>
  </si>
  <si>
    <t xml:space="preserve"> EV / 2차전지 전용 차세대 고사양 PI Film 생산을 위한 설비 증설 투자
(600톤/년 규모의 생산라인 1개 호기)</t>
  </si>
  <si>
    <t>https://dart.fss.or.kr/dsaf001/main.do?rcpNo=20210426900131</t>
  </si>
  <si>
    <t>2021.04.19</t>
  </si>
  <si>
    <t>제2공장 증축확장 및 설비투자</t>
  </si>
  <si>
    <t>http://dart.fss.or.kr/dsaf001/main.do?rcpNo=20210419900655</t>
  </si>
  <si>
    <t>한익스프레스</t>
  </si>
  <si>
    <t>2021.04.09</t>
  </si>
  <si>
    <t>자가 물류센터(상온,냉동,냉장) 신축을 통한 영업기반 확대 및 매출신장 기여</t>
  </si>
  <si>
    <t>http://dart.fss.or.kr/dsaf001/main.do?rcpNo=20210409800152</t>
  </si>
  <si>
    <t>메가스터디교육</t>
  </si>
  <si>
    <t>기숙학원 신축</t>
  </si>
  <si>
    <t>http://dart.fss.or.kr/dsaf001/main.do?rcpNo=20210405900370</t>
  </si>
  <si>
    <t>2020.06.17</t>
  </si>
  <si>
    <t>2021.03.31</t>
  </si>
  <si>
    <t>설비 검수일정 조정</t>
  </si>
  <si>
    <t>신규시설투자(2단계)</t>
  </si>
  <si>
    <t xml:space="preserve"> 2차전지 양극활물질 수요 대응을 위한
CAPA 증설</t>
  </si>
  <si>
    <t>http://dart.fss.or.kr/dsaf001/main.do?rcpNo=20210331903121</t>
  </si>
  <si>
    <t>에너토크</t>
  </si>
  <si>
    <t>2020.08.14</t>
  </si>
  <si>
    <t>공사기간 연장에 따른 투자기간 종료일 정정</t>
  </si>
  <si>
    <t>공장신설투자</t>
  </si>
  <si>
    <t>전동구동기 및 관련 부품 생산공장 신축</t>
  </si>
  <si>
    <t>http://dart.fss.or.kr/dsaf001/main.do?rcpNo=20210331900230</t>
  </si>
  <si>
    <t>2017.12.05</t>
  </si>
  <si>
    <t>2021.03.29</t>
  </si>
  <si>
    <t>1. 자동화 흐름생산을 위한 포장 자동화 설비 추가와
   S/W구입, 토목 공사 (폐기물처리시설 外) 추가,
   기계장치 수입 물류비 급등 등에 따른 투자금액 증가
2. 코로나19로 인한 기계장치 선적 지연과 설치 기술자
   입국 지연에 따른 투자기간 연장</t>
  </si>
  <si>
    <t>당사 용인공장내 공장증축 및 물류센터 건립</t>
  </si>
  <si>
    <t>당사 생산 인프라 확대 및 물류 효율성 향상</t>
  </si>
  <si>
    <t>http://dart.fss.or.kr/dsaf001/main.do?rcpNo=20210329801731</t>
  </si>
  <si>
    <t>메디톡스</t>
  </si>
  <si>
    <t>2021.03.22</t>
  </si>
  <si>
    <t>“코로나19”로 인한 생산장비 입고지연에 따른 계약기간 연장</t>
  </si>
  <si>
    <t>㈜메디톡스 오송 3공장 E동 생산라인 신축공사</t>
  </si>
  <si>
    <t>http://dart.fss.or.kr/dsaf001/main.do?rcpNo=2021032290029</t>
  </si>
  <si>
    <t>2021.03.12</t>
  </si>
  <si>
    <t xml:space="preserve"> 신규사업을 위한 공장 및 설비투자
(2차전지용 소재임가공)</t>
  </si>
  <si>
    <t>http://dart.fss.or.kr/dsaf001/main.do?rcpNo=20210312900689</t>
  </si>
  <si>
    <t>카카오</t>
  </si>
  <si>
    <t>카카오 친환경 데이터센터(IDC) 구축</t>
  </si>
  <si>
    <t>인공지능과 빅데이터 관리 운영의 강화
미래 IT 수요 데이터 증가대응</t>
  </si>
  <si>
    <t>http://dart.fss.or.kr/dsaf001/main.do?rcpNo=20211130800829</t>
  </si>
  <si>
    <t>에이디칩스</t>
  </si>
  <si>
    <t>2021.03.04</t>
  </si>
  <si>
    <t>포천산업단지내 유통부지 공사</t>
  </si>
  <si>
    <t>http://dart.fss.or.kr/dsaf001/main.do?rcpNo=20210304900701</t>
  </si>
  <si>
    <t>2021.03.02</t>
  </si>
  <si>
    <t>http://dart.fss.or.kr/dsaf001/main.do?rcpNo=20210302800805</t>
  </si>
  <si>
    <t>LG생활건강</t>
  </si>
  <si>
    <t>2020.07.02</t>
  </si>
  <si>
    <t>2021.02.26</t>
  </si>
  <si>
    <t>청주 테크노폴리스 산업단지 내 화장품 공장 투자</t>
  </si>
  <si>
    <t>http://dart.fss.or.kr/dsaf001/main.do?rcpNo=20210226800353</t>
  </si>
  <si>
    <t>2021.02.24</t>
  </si>
  <si>
    <t>OLED 소재 설비 증설</t>
  </si>
  <si>
    <t>http://dart.fss.or.kr/dsaf001/main.do?rcpNo=20210224900350</t>
  </si>
  <si>
    <t>FOPLP &amp; FOWLP Test 설비 신규 투자</t>
  </si>
  <si>
    <t>http://dart.fss.or.kr/dsaf001/main.do?rcpNo=20210224900428</t>
  </si>
  <si>
    <t>2021.02.23</t>
  </si>
  <si>
    <t>고부가가치 MSAP 기판 및 SIP 모듈기판 수요 증대 대응을 위한 생산 설비 증설</t>
  </si>
  <si>
    <t>http://dart.fss.or.kr/dsaf001/main.do?rcpNo=20210223900495</t>
  </si>
  <si>
    <t>2021.02.16</t>
  </si>
  <si>
    <t>초대형 유조선(VLCC : Very Large Crude Carrier) 3척</t>
  </si>
  <si>
    <t>중장기 선대 확보를 위한 장기 용선</t>
  </si>
  <si>
    <t>http://dart.fss.or.kr/dsaf001/main.do?rcpNo=20210216800763</t>
  </si>
  <si>
    <t>2021.02.15</t>
  </si>
  <si>
    <t>신규시설(신규공장건설)투자</t>
  </si>
  <si>
    <t>OLED 메탈 마스크 생산공장/시설 건설</t>
  </si>
  <si>
    <t>http://dart.fss.or.kr/dsaf001/main.do?rcpNo=20210215900470</t>
  </si>
  <si>
    <t>피플바이오</t>
  </si>
  <si>
    <t>2021.02.10</t>
  </si>
  <si>
    <t>GMP 신규 시설투자</t>
  </si>
  <si>
    <t>알츠하이머 진단키트 수요 증가 예상에 따른 생산규모 확대</t>
  </si>
  <si>
    <t>http://dart.fss.or.kr/dsaf001/main.do?rcpNo=20210210900255</t>
  </si>
  <si>
    <t>http://dart.fss.or.kr/dsaf001/main.do?rcpNo=20210209800893</t>
  </si>
  <si>
    <t>에이치엘사이언스</t>
  </si>
  <si>
    <t>신규 GMP 완제품 생산시설</t>
  </si>
  <si>
    <t>원료 생산과 완제품 생산의 연계로 시너지 창출 및 시장수요에 효과적으로 대응하기 위함.</t>
  </si>
  <si>
    <t>http://dart.fss.or.kr/dsaf001/main.do?rcpNo=20210205901052</t>
  </si>
  <si>
    <t>2021.01.25</t>
  </si>
  <si>
    <t>Butadiene 생산시설 신설</t>
  </si>
  <si>
    <t>사업다각화를 통한 지속성장 기반 마련</t>
  </si>
  <si>
    <t>http://dart.fss.or.kr/dsaf001/main.do?rcpNo=20210125800670</t>
  </si>
  <si>
    <t>로체시스템즈</t>
  </si>
  <si>
    <t>2021.01.18</t>
  </si>
  <si>
    <t>생산Capacity 증설을 위한 신공장 증축</t>
  </si>
  <si>
    <t>http://dart.fss.or.kr/dsaf001/main.do?rcpNo=20210118900578</t>
  </si>
  <si>
    <t>91,000CBM VLGC (Very Large Gas Carrier)</t>
  </si>
  <si>
    <t>http://dart.fss.or.kr/dsaf001/main.do?rcpNo=20210118800203</t>
  </si>
  <si>
    <t>2020.12.30</t>
  </si>
  <si>
    <t>계약종료일 변경</t>
  </si>
  <si>
    <t xml:space="preserve"> 1.시설증설을 통한 생산공간 확보
2.공장 이전 및 통합으로 업무와 생산 효율성 증대</t>
  </si>
  <si>
    <t>http://dart.fss.or.kr/dsaf001/main.do?rcpNo=20201230900796</t>
  </si>
  <si>
    <t>GRT</t>
  </si>
  <si>
    <t>2019.06.03</t>
  </si>
  <si>
    <t>생산규모 확대를 위한 신규 공장 건설</t>
  </si>
  <si>
    <t>http://dart.fss.or.kr/dsaf001/main.do?rcpNo=20201230900505</t>
  </si>
  <si>
    <t>강남제비스코</t>
  </si>
  <si>
    <t>2018.02.05</t>
  </si>
  <si>
    <t>투자기간연장</t>
  </si>
  <si>
    <t>공장신축 및 설비투자</t>
  </si>
  <si>
    <t>안양공장을 평택시 포승공단 내 당사 소유부지로 2022년 6월말까지 단계적 이전</t>
  </si>
  <si>
    <t>http://dart.fss.or.kr/dsaf001/main.do?rcpNo=20201230800954</t>
  </si>
  <si>
    <t>2019.08.19</t>
  </si>
  <si>
    <t>2020.12.28</t>
  </si>
  <si>
    <t>NCM 이차전지 양극활물질 설비 및 건축물 증설</t>
  </si>
  <si>
    <t>전기자동차, ESS 등에 사용되는 NCM 이차전지 양극활물질 경쟁력 강화</t>
  </si>
  <si>
    <t>http://dart.fss.or.kr/dsaf001/main.do?rcpNo=20201228800135</t>
  </si>
  <si>
    <t>세경하이테크</t>
  </si>
  <si>
    <t>2020.08.31</t>
  </si>
  <si>
    <t>신규제품 생산시설 확보</t>
  </si>
  <si>
    <t>http://dart.fss.or.kr/dsaf001/main.do?rcpNo=20201228900757</t>
  </si>
  <si>
    <t>MLCC용 이형필름 라인증설</t>
  </si>
  <si>
    <t>MLCC 시장 확대에 따른 이형필름 수요증가 대응</t>
  </si>
  <si>
    <t>http://dart.fss.or.kr/dsaf001/main.do?rcpNo=20201228800136</t>
  </si>
  <si>
    <t>2020.12.24</t>
  </si>
  <si>
    <t>LNG 운반선 1척 건조</t>
  </si>
  <si>
    <t>http://dart.fss.or.kr/dsaf001/main.do?rcpNo=20201224800689</t>
  </si>
  <si>
    <t>2020.12.15</t>
  </si>
  <si>
    <t>LNG 운반선 2척 건조</t>
  </si>
  <si>
    <t>http://dart.fss.or.kr/dsaf001/main.do?rcpNo=20201215801080</t>
  </si>
  <si>
    <t>에이티세미콘</t>
  </si>
  <si>
    <t>2020.12.09</t>
  </si>
  <si>
    <t>Capa 증대에 따른 신규시설장비 투자</t>
  </si>
  <si>
    <t>http://dart.fss.or.kr/dsaf001/main.do?rcpNo=20201209900579</t>
  </si>
  <si>
    <t>에프알텍</t>
  </si>
  <si>
    <t>2020.12.07</t>
  </si>
  <si>
    <t>투자금액 및 종료일 변경</t>
  </si>
  <si>
    <t>회사의 중장기 발전을 위한 생산시설 이전</t>
  </si>
  <si>
    <t>http://dart.fss.or.kr/dsaf001/main.do?rcpNo=20201207900267</t>
  </si>
  <si>
    <t>폐용제 고순도 재생설비</t>
  </si>
  <si>
    <t>정부의 그린뉴딜 정책에 부응한 친환경사업 진출 및 국내외 용제재생 수요 대응</t>
  </si>
  <si>
    <t>http://dart.fss.or.kr/dsaf001/main.do?rcpNo=20201201800138</t>
  </si>
  <si>
    <t>대한해운</t>
  </si>
  <si>
    <t>2020.08.12</t>
  </si>
  <si>
    <t>본 건 LNG사업 관련 계약 당사자로서의 지위를 분할계약서 등에 따라 당사에서 LNG사업부문을 물적분할하여 설립한 신설회사 대한해운엘엔지(주)로 이전 완료하였기에 이에 대한 정정공시</t>
  </si>
  <si>
    <t>174,000 CBM LNG 선박 2척</t>
  </si>
  <si>
    <t>신규 대선계약 투입 선박 조달</t>
  </si>
  <si>
    <t>http://dart.fss.or.kr/dsaf001/main.do?rcpNo=20201201800446</t>
  </si>
  <si>
    <t>테스나</t>
  </si>
  <si>
    <t>2019.10.11</t>
  </si>
  <si>
    <t>http://dart.fss.or.kr/dsaf001/main.do?rcpNo=20201130900312</t>
  </si>
  <si>
    <t>2020.11.24</t>
  </si>
  <si>
    <t>신규시설투자를 통한 생산능력 확대</t>
  </si>
  <si>
    <t>http://dart.fss.or.kr/dsaf001/main.do?rcpNo=20201124900140</t>
  </si>
  <si>
    <t>2020.11.23</t>
  </si>
  <si>
    <t>(생산라인) 시설증설</t>
  </si>
  <si>
    <t>차세대 고사양 PI Film 생산을 위한 설비투자 등
(600톤/년 규모의 생산라인 1개 호기)</t>
  </si>
  <si>
    <t>http://dart.fss.or.kr/dsaf001/main.do?rcpNo=20201123900530</t>
  </si>
  <si>
    <t>엑세스바이오</t>
  </si>
  <si>
    <t>2020.11.20</t>
  </si>
  <si>
    <t>코로나 진단키트 생산능력 확대를 위한 자동화 생산기기 구매</t>
  </si>
  <si>
    <t>http://dart.fss.or.kr/dsaf001/main.do?rcpNo=20201120900057</t>
  </si>
  <si>
    <t>2020.11.13</t>
  </si>
  <si>
    <t>신규시설투자(3단계)</t>
  </si>
  <si>
    <t>전기차(EV)용 2차전지 양극활물질 수요 대응을 위한 CAPA 증설</t>
  </si>
  <si>
    <t>http://dart.fss.or.kr/dsaf001/main.do?rcpNo=20201113900545</t>
  </si>
  <si>
    <t>2020.11.06</t>
  </si>
  <si>
    <t>http://dart.fss.or.kr/dsaf001/main.do?rcpNo=20201106800387</t>
  </si>
  <si>
    <t>2019.11.25</t>
  </si>
  <si>
    <t>2020.11.04</t>
  </si>
  <si>
    <t>신규공장(건축 및 부대설비등)</t>
  </si>
  <si>
    <t>사업장 통합 및 Capacity 증설, 신규공정대응을 위한 신공장 증축</t>
  </si>
  <si>
    <t>http://dart.fss.or.kr/dsaf001/main.do?rcpNo=20201104900482</t>
  </si>
  <si>
    <t>2020.10.28</t>
  </si>
  <si>
    <t>투자비 증액, 투자기간 변경, 생산설비 증가에 따른 정정공시</t>
  </si>
  <si>
    <t>http://dart.fss.or.kr/dsaf001/main.do?rcpNo=20201028800368</t>
  </si>
  <si>
    <t>2020.10.20</t>
  </si>
  <si>
    <t>이차전지용 테이프 신규라인 증설</t>
  </si>
  <si>
    <t>이차전지용 테이프 판매증가에 따른 생산능력 증대</t>
  </si>
  <si>
    <t>http://dart.fss.or.kr/dsaf001/main.do?rcpNo=20201020800136</t>
  </si>
  <si>
    <t>2018.08.22</t>
  </si>
  <si>
    <t>2020.10.16</t>
  </si>
  <si>
    <t>Copolyester 생산설비</t>
  </si>
  <si>
    <t>Copolyester 사업 확대 추진</t>
  </si>
  <si>
    <t>http://dart.fss.or.kr/dsaf001/main.do?rcpNo=20201016800445</t>
  </si>
  <si>
    <t>디에이치피코리아</t>
  </si>
  <si>
    <t>2020.10.12</t>
  </si>
  <si>
    <t>시설 및 공장증설</t>
  </si>
  <si>
    <t>생산능력 확대를 위한 기계설비(BFS설비(4라인) 외) 도입 및 공장증축</t>
  </si>
  <si>
    <t>http://dart.fss.or.kr/dsaf001/main.do?rcpNo=20201012900218</t>
  </si>
  <si>
    <t>2020.10.07</t>
  </si>
  <si>
    <t>글로벌제약사의 올리고 핵산치료제 신약 원료(API)생산을 위한 공동 사용설비로서 활용될 예정임.</t>
  </si>
  <si>
    <t>http://dart.fss.or.kr/dsaf001/main.do?rcpNo=20201007900136</t>
  </si>
  <si>
    <t>한국특상</t>
  </si>
  <si>
    <t>2020.10.05</t>
  </si>
  <si>
    <t>철근 생산을 통한 제품 다양화 및 기업수익성 제고</t>
  </si>
  <si>
    <t>http://dart.fss.or.kr/dsaf001/main.do?rcpNo=20201005800538</t>
  </si>
  <si>
    <t>신흥</t>
  </si>
  <si>
    <t>2019.10.04</t>
  </si>
  <si>
    <t>2020.09.29</t>
  </si>
  <si>
    <t>통합 물류시설 신축을 통한 시너지 창출</t>
  </si>
  <si>
    <t>http://dart.fss.or.kr/dsaf001/main.do?rcpNo=20200929800337</t>
  </si>
  <si>
    <t>2020.09.28</t>
  </si>
  <si>
    <t>온산공장 NCC 및 부대설비</t>
  </si>
  <si>
    <t>NCC 증설을 통한 글로벌 경쟁력 강화 및 규모의 경제성 제고</t>
  </si>
  <si>
    <t>http://dart.fss.or.kr/dsaf001/main.do?rcpNo=20200928800427</t>
  </si>
  <si>
    <t>2019.11.15</t>
  </si>
  <si>
    <t>2020.09.25</t>
  </si>
  <si>
    <t>장기간 지속된 장마 및 집중호우로 인해 공사지연과 일부 설계변경에 따른 공사기간 연장</t>
  </si>
  <si>
    <t>생산 물량 확보 및 신제품 양산을 위한 시설 증설</t>
  </si>
  <si>
    <t>http://dart.fss.or.kr/dsaf001/main.do?rcpNo=20200925900451</t>
  </si>
  <si>
    <t>2017.08.28</t>
  </si>
  <si>
    <t>2020.09.24</t>
  </si>
  <si>
    <t>충주 유전자치료제 공장</t>
  </si>
  <si>
    <t>유전자치료제 대량생산 상용화 공장 신축</t>
  </si>
  <si>
    <t>http://dart.fss.or.kr/dsaf001/main.do?rcpNo=20200924800541</t>
  </si>
  <si>
    <t>2020.09.22</t>
  </si>
  <si>
    <t>시설증설(기계장치)</t>
  </si>
  <si>
    <t>CIS 및 SoC Test 설비 증설</t>
  </si>
  <si>
    <t>http://dart.fss.or.kr/dsaf001/main.do?rcpNo=20200922900356</t>
  </si>
  <si>
    <t>2017.06.05</t>
  </si>
  <si>
    <t>81,200 DWT 벌크선 2척</t>
  </si>
  <si>
    <t>부정기선 영업부문 선대 확충 및 향후 예상되는 국내외 신규 COA에 대비한 선박 확보</t>
  </si>
  <si>
    <t>http://dart.fss.or.kr/dsaf001/main.do?rcpNo=20200921800427</t>
  </si>
  <si>
    <t>전진바이오팜</t>
  </si>
  <si>
    <t>2020.08.28</t>
  </si>
  <si>
    <t>생산시설 추가 신설</t>
  </si>
  <si>
    <t>캡슐형 액체세탁세제 생산설비 및 연구실험용 설비 도입
- 기능성 천연소재 원천기술을 활용한 캡슐형 세탁
  세제 국산화 및 직접제조
- 시장수요 증가를 대비한 생산능력 확보
- 직접생산을 통한 제조혁신
  (제조원가하락, 납기단축, 품질향상)</t>
  </si>
  <si>
    <t>http://dart.fss.or.kr/dsaf001/main.do?rcpNo=20200828900120</t>
  </si>
  <si>
    <t>APS홀딩스</t>
  </si>
  <si>
    <t>2020.02.17</t>
  </si>
  <si>
    <t>투자기간(종료일)변경</t>
  </si>
  <si>
    <t>FMM Stick 생산 시설 투자를 통한 미래성장동력 강화</t>
  </si>
  <si>
    <t>http://dart.fss.or.kr/dsaf001/main.do?rcpNo=20200828900498</t>
  </si>
  <si>
    <t>윙입푸드</t>
  </si>
  <si>
    <t>2020.08.24</t>
  </si>
  <si>
    <t>생산공장 증축</t>
  </si>
  <si>
    <t>생산공장 증축을 위한 건설계약 체결</t>
  </si>
  <si>
    <t>http://dart.fss.or.kr/dsaf001/main.do?rcpNo=20200824900216</t>
  </si>
  <si>
    <t>2020.08.05</t>
  </si>
  <si>
    <t>http://dart.fss.or.kr/dsaf001/main.do?rcpNo=20200805800107</t>
  </si>
  <si>
    <t>쌍용씨앤이</t>
  </si>
  <si>
    <t>2018.12.10</t>
  </si>
  <si>
    <t>2020.07.31</t>
  </si>
  <si>
    <t xml:space="preserve"> 생산공장(동해,영월)의 설비 개조 및 신설 등
Infra 구축</t>
  </si>
  <si>
    <t>정부의 환경정책 강화(NOx, 배출부과금 등)와 자원순환기본법 발효에 선제적이고 적극적으로
대응하기 위해 순환자원 사용량 증대
순환자원 사용증대를 위한 설비 개조, 신증설 및 Infra 구축을 통한 획기적인 원가절감</t>
  </si>
  <si>
    <t>http://dart.fss.or.kr/dsaf001/main.do?rcpNo=20200731800725</t>
  </si>
  <si>
    <t>타이거일렉</t>
  </si>
  <si>
    <t>2019.12.05</t>
  </si>
  <si>
    <t>2020.07.30</t>
  </si>
  <si>
    <t>CAPA 증설 및 시설투자를 통한 중장기 성장동력 확보 및 신제품 생산</t>
  </si>
  <si>
    <t>http://dart.fss.or.kr/dsaf001/main.do?rcpNo=20200730900302</t>
  </si>
  <si>
    <t>동아에스티</t>
  </si>
  <si>
    <t>송도공장 신설</t>
  </si>
  <si>
    <t>고형제 국내 매출 증가와 향후 해외 판매 확대를 위한 기반 조성</t>
  </si>
  <si>
    <t>http://dart.fss.or.kr/dsaf001/main.do?rcpNo=20200730800521</t>
  </si>
  <si>
    <t>2020.07.24</t>
  </si>
  <si>
    <t>천연가스 저장시설 확충을 위한
제5 LNG생산기지 1단계 건설</t>
  </si>
  <si>
    <t>http://dart.fss.or.kr/dsaf001/main.do?rcpNo=20200724800628</t>
  </si>
  <si>
    <t>2020.07.22</t>
  </si>
  <si>
    <t>통신용 반도체기판 수요 대응을 위한 Capa. 확장</t>
  </si>
  <si>
    <t>http://dart.fss.or.kr/dsaf001/main.do?rcpNo=20200722800361</t>
  </si>
  <si>
    <t>2019.03.26</t>
  </si>
  <si>
    <t>2020.07.21</t>
  </si>
  <si>
    <t>신규시설(공장증설 등) 투자</t>
  </si>
  <si>
    <t>주고객사 대응 생산 인프라 증설을 위한 신규 공장동 증설</t>
  </si>
  <si>
    <t>http://dart.fss.or.kr/dsaf001/main.do?rcpNo=20200721900004</t>
  </si>
  <si>
    <t>케어젠</t>
  </si>
  <si>
    <t>2019.08.22</t>
  </si>
  <si>
    <t>건강기능식품 펩타이드 생산시설 투자를 통한 생산능력 확보</t>
  </si>
  <si>
    <t>http://dart.fss.or.kr/dsaf001/main.do?rcpNo=20200721900289</t>
  </si>
  <si>
    <t>2020.07.14</t>
  </si>
  <si>
    <t>신규 비메모리 반도체 FCBGA 시장 확대 수요에 대응하기 위한 생산설비 신설</t>
  </si>
  <si>
    <t>http://dart.fss.or.kr/dsaf001/main.do?rcpNo=20200714800143</t>
  </si>
  <si>
    <t>윈익피앤이</t>
  </si>
  <si>
    <t>2020.01.06</t>
  </si>
  <si>
    <t>2020.06.30</t>
  </si>
  <si>
    <t>투자기간 종료일 정정</t>
  </si>
  <si>
    <t>http://dart.fss.or.kr/dsaf001/main.do?rcpNo=20200630900257</t>
  </si>
  <si>
    <t>엔투텍</t>
  </si>
  <si>
    <t>마스크 제조 시설 추가 확보</t>
  </si>
  <si>
    <t>http://dart.fss.or.kr/dsaf001/main.do?rcpNo=20200630900500</t>
  </si>
  <si>
    <t>선광</t>
  </si>
  <si>
    <t>2020.05.26</t>
  </si>
  <si>
    <t>투자기간 및 투자금액 변경에 따른 정정</t>
  </si>
  <si>
    <t>양곡저장시설증설</t>
  </si>
  <si>
    <t>군산항의 양곡물동량 증가 대비</t>
  </si>
  <si>
    <t>http://dart.fss.or.kr/dsaf001/main.do?rcpNo=20200617900239</t>
  </si>
  <si>
    <t>2020.06.11</t>
  </si>
  <si>
    <t>김제 모듈 공장</t>
  </si>
  <si>
    <t>http://dart.fss.or.kr/dsaf001/main.do?rcpNo=20200611800151</t>
  </si>
  <si>
    <t>2020.06.10</t>
  </si>
  <si>
    <t>http://dart.fss.or.kr/dsaf001/main.do?rcpNo=20200610900294</t>
  </si>
  <si>
    <t>오성첨단소재</t>
  </si>
  <si>
    <t>2020.05.29</t>
  </si>
  <si>
    <t>신규 시설투자등</t>
  </si>
  <si>
    <t>주문물량 증가에 따른 신규설비 투자</t>
  </si>
  <si>
    <t>http://dart.fss.or.kr/dsaf001/main.do?rcpNo=20200529900785</t>
  </si>
  <si>
    <t>2020.05.21</t>
  </si>
  <si>
    <t>자동차 전장 디스플레이 전용 생산 Line 구축</t>
  </si>
  <si>
    <t>http://dart.fss.or.kr/dsaf001/main.do?rcpNo=20200521900122</t>
  </si>
  <si>
    <t>2020.05.07</t>
  </si>
  <si>
    <t>울산공장 아라미드 생산라인 증설</t>
  </si>
  <si>
    <t>5세대(5G) 이동통신 등 통신용 光케이블 보강재 및 자동차용 냉각 호스, 산업용 벨트 등 아라미드 보강재 수요 증가에 따른 증설</t>
  </si>
  <si>
    <t>http://dart.fss.or.kr/dsaf001/main.do?rcpNo=20200507800561</t>
  </si>
  <si>
    <t>2020.04.29</t>
  </si>
  <si>
    <t>신규사업을 위한 신규시설투자(2차전지)</t>
  </si>
  <si>
    <t>http://dart.fss.or.kr/dsaf001/main.do?rcpNo=20200429900188</t>
  </si>
  <si>
    <t>2019.12.30</t>
  </si>
  <si>
    <t>2020.04.28</t>
  </si>
  <si>
    <t>코로나19로 인한 외국인 기술자 입국 지연에 따른 투자기간 연장</t>
  </si>
  <si>
    <t>압연 3호기 개조 설치</t>
  </si>
  <si>
    <t>리튬이온배터리(LIB)용 알루미늄 수요증가 대응</t>
  </si>
  <si>
    <t>http://dart.fss.or.kr/dsaf001/main.do?rcpNo=20200428800336</t>
  </si>
  <si>
    <t>동우팜테이블</t>
  </si>
  <si>
    <t>2020.04.23</t>
  </si>
  <si>
    <t>닭고기시장의 시장 수요 대응 및 품질향상</t>
  </si>
  <si>
    <t>http://dart.fss.or.kr/dsaf001/main.do?rcpNo=20200423900200</t>
  </si>
  <si>
    <t>2017.10.30</t>
  </si>
  <si>
    <t>2020.04.13</t>
  </si>
  <si>
    <t>글로벌 영업환경 변동에 따른 투자규모 축소
(기존 2개 생산라인 증설에서 1개 생산라인 증설로 변경)</t>
  </si>
  <si>
    <t>PI Film 생산능력 증대를 위한 생산라인 증설
(600톤/년 규모의 생산라인 1개 호기)</t>
  </si>
  <si>
    <t>http://dart.fss.or.kr/dsaf001/main.do?rcpNo=20200413900645</t>
  </si>
  <si>
    <t>49,999DWT MR Tanker</t>
  </si>
  <si>
    <t>http://dart.fss.or.kr/dsaf001/main.do?rcpNo=20200413800167</t>
  </si>
  <si>
    <t>무학</t>
  </si>
  <si>
    <t>2017.10.13</t>
  </si>
  <si>
    <t>별도공장의 신설 계획 변경에 따른 정정 공시</t>
  </si>
  <si>
    <t>충주공장(충주메가폴리스 산업단지 내)</t>
  </si>
  <si>
    <t>주류생산 공장 신설을 통한 생산능력 증대
 - 판매지역 확대를 위한 토대 및 지속성장 기반 마련</t>
  </si>
  <si>
    <t>http://dart.fss.or.kr/dsaf001/main.do?rcpNo=20200330801783</t>
  </si>
  <si>
    <t>2019.03.12</t>
  </si>
  <si>
    <t>2020.03.27</t>
  </si>
  <si>
    <t>기기 인도 지연에 따른 투자기간 정정</t>
  </si>
  <si>
    <t>Dry컨테이너박스 60,900대
Reefer컨테이너박스 2,580대
총 63,480대</t>
  </si>
  <si>
    <t>http://dart.fss.or.kr/dsaf001/main.do?rcpNo=20200327803178</t>
  </si>
  <si>
    <t>롯데푸드</t>
  </si>
  <si>
    <t>2018.11.06</t>
  </si>
  <si>
    <t>롯데푸드(주) 김천공장</t>
  </si>
  <si>
    <t>HMR 사업 확대에 따른 제조역량 강화</t>
  </si>
  <si>
    <t>http://dart.fss.or.kr/dsaf001/main.do?rcpNo=20200327803564</t>
  </si>
  <si>
    <t>다스코</t>
  </si>
  <si>
    <t>2020.03.20</t>
  </si>
  <si>
    <t>WBM(선조립철근)사업 생산시설(공장신설 및 설비구매)투자</t>
  </si>
  <si>
    <t>WBM(선조립철근)시장의 성장성, 기존 건축자재사업부문과의 SYNERGY효과 등을 감안하여 WBM(선조립철근)사업에 투자</t>
  </si>
  <si>
    <t>http://dart.fss.or.kr/dsaf001/main.do?rcpNo=20200320801409</t>
  </si>
  <si>
    <t>LX하우시스</t>
  </si>
  <si>
    <t>2018.07.26</t>
  </si>
  <si>
    <t>2020.02.28</t>
  </si>
  <si>
    <t>http://dart.fss.or.kr/dsaf001/main.do?rcpNo=20200228800945</t>
  </si>
  <si>
    <t>보광산업</t>
  </si>
  <si>
    <t>2019.08.14</t>
  </si>
  <si>
    <t>신규시설 투자 공사기간 연장</t>
  </si>
  <si>
    <t xml:space="preserve"> 시장수요 증가를 대비한 생산능력 확대
(골재생산능력확대)</t>
  </si>
  <si>
    <t>http://dart.fss.or.kr/dsaf001/main.do?rcpNo=20200228900522</t>
  </si>
  <si>
    <t>디스플레이텍</t>
  </si>
  <si>
    <t>2019.09.16</t>
  </si>
  <si>
    <t>2020.02.27</t>
  </si>
  <si>
    <t>투자기간 연장(변경)</t>
  </si>
  <si>
    <t>사업다각화 일환으로 SANITARY PAD(위생대)제조설비 투자를 통하여 외형및 수익을 제고 하고자함</t>
  </si>
  <si>
    <t>http://dart.fss.or.kr/dsaf001/main.do?rcpNo=20200227900356</t>
  </si>
  <si>
    <t>한솔제지</t>
  </si>
  <si>
    <t>2020.02.26</t>
  </si>
  <si>
    <t>대전공장 설비 개조</t>
  </si>
  <si>
    <t>백판지 생산성 향상을 위한 대전공장 생산라인 증속 개조 투자임</t>
  </si>
  <si>
    <t>http://dart.fss.or.kr/dsaf001/main.do?rcpNo=20200226800871</t>
  </si>
  <si>
    <t>NAVER</t>
  </si>
  <si>
    <t>2017.06.26</t>
  </si>
  <si>
    <t>IDC 구축 규모 확장에 따른 투자금액 및 투자기간 등 변동</t>
  </si>
  <si>
    <t>클라우드 데이터센터(IDC) 구축</t>
  </si>
  <si>
    <t>미래 IT 수요 데이터 증가를 고려한 대용량 IDC 필요 및 연구시설</t>
  </si>
  <si>
    <t>http://dart.fss.or.kr/dsaf001/main.do?rcpNo=20200226801099</t>
  </si>
  <si>
    <t>2020.02.21</t>
  </si>
  <si>
    <t>84,000CBM VLGC (Very Large Gas Carrier)</t>
  </si>
  <si>
    <t>http://dart.fss.or.kr/dsaf001/main.do?rcpNo=20200221800165</t>
  </si>
  <si>
    <t>2020.02.13</t>
  </si>
  <si>
    <t>광학솔루션 사업 경쟁력 지속 강화 및
시장 수요 대응</t>
  </si>
  <si>
    <t>http://dart.fss.or.kr/dsaf001/main.do?rcpNo=20200213800622</t>
  </si>
  <si>
    <t>2020.02.11</t>
  </si>
  <si>
    <t>전자재료 생산·연구동 투자</t>
  </si>
  <si>
    <t>차세대 기술 대응 및 선행개발역량 강화</t>
  </si>
  <si>
    <t>http://dart.fss.or.kr/dsaf001/main.do?rcpNo=20200211800353</t>
  </si>
  <si>
    <t>2019.11.18</t>
  </si>
  <si>
    <t>2020.02.04</t>
  </si>
  <si>
    <t>한국가스공사와의 합작투자계약 체결을 위한 결의로 계약 변경에 따른 정정 공시</t>
  </si>
  <si>
    <t>18,000 CBM LNG Bunkering 선박 1척</t>
  </si>
  <si>
    <t xml:space="preserve"> Shell Western LNG B.V사와의 신규 용선계약 투입 선박 조달</t>
  </si>
  <si>
    <t>http://dart.fss.or.kr/dsaf001/main.do?rcpNo=20200204800600</t>
  </si>
  <si>
    <t>다원시스</t>
  </si>
  <si>
    <t>2019.04.17</t>
  </si>
  <si>
    <t>2020.01.31</t>
  </si>
  <si>
    <t>신규 공장 신축</t>
  </si>
  <si>
    <t xml:space="preserve"> 철도사업 생산 능력 확대를 통한 성장동력 강화 및 경쟁력 확보</t>
  </si>
  <si>
    <t>http://dart.fss.or.kr/dsaf001/main.do?rcpNo=20200131900884</t>
  </si>
  <si>
    <t>대한그린파워</t>
  </si>
  <si>
    <t>2020.01.30</t>
  </si>
  <si>
    <t>공사 완공에 따른 정정</t>
  </si>
  <si>
    <t>신규제품 합성 트리글리세라이드(Synthesis Triglycerides) 생산을 위한 생산 Capa 증설로 경쟁력 강화</t>
  </si>
  <si>
    <t>http://dart.fss.or.kr/dsaf001/main.do?rcpNo=20200130900435</t>
  </si>
  <si>
    <t>케이엠제약</t>
  </si>
  <si>
    <t>평택제2공장 신규 시설장비투자</t>
  </si>
  <si>
    <t>고객 다변화 및 물량증가 대비 생산CAPA 확보를 위한 신규공장 시설장비 투자</t>
  </si>
  <si>
    <t>http://dart.fss.or.kr/dsaf001/main.do?rcpNo=20200130900293</t>
  </si>
  <si>
    <t>KMH하이텍</t>
  </si>
  <si>
    <t>2020.01.28</t>
  </si>
  <si>
    <t>베트남 Que Vo 2공단 지역 공장 신설</t>
  </si>
  <si>
    <t>생산거점 확대 및 원가 개선을 통한 영엉익 실현</t>
  </si>
  <si>
    <t>http://dart.fss.or.kr/dsaf001/main.do?rcpNo=20200128900682</t>
  </si>
  <si>
    <t>엠플러스</t>
  </si>
  <si>
    <t>2020.01.22</t>
  </si>
  <si>
    <t>투자기간 종료일 및 투자금액 변경</t>
  </si>
  <si>
    <t>신규 공장 신축 (제3공장)</t>
  </si>
  <si>
    <t>생산능력 증대로 회사의 성장동력 및 경쟁력 강화</t>
  </si>
  <si>
    <t>http://dart.fss.or.kr/dsaf001/main.do?rcpNo=20200122900135</t>
  </si>
  <si>
    <t>2020.01.16</t>
  </si>
  <si>
    <t>MR Tanker 4척 건조</t>
  </si>
  <si>
    <t>선대경쟁력 강화</t>
  </si>
  <si>
    <t>http://dart.fss.or.kr/dsaf001/main.do?rcpNo=20200116800394</t>
  </si>
  <si>
    <t>2020.01.07</t>
  </si>
  <si>
    <t>http://dart.fss.or.kr/dsaf001/main.do?rcpNo=20200107800077</t>
  </si>
  <si>
    <t>바이오니아</t>
  </si>
  <si>
    <t>2020..05.25</t>
  </si>
  <si>
    <t>분자진단제품 생산공장증설</t>
  </si>
  <si>
    <t>http://dart.fss.or.kr/dsaf001/main.do?rcpNo=20200525900283</t>
  </si>
  <si>
    <t>2019.12.31</t>
  </si>
  <si>
    <t xml:space="preserve"> 투자기간연장
투자금액변경</t>
  </si>
  <si>
    <t>공장증축 및 신규시설투자</t>
  </si>
  <si>
    <t>펠리클 시설 투자를 통한 매출 증대 및 시장 경쟁력 강화</t>
  </si>
  <si>
    <t>http://dart.fss.or.kr/dsaf001/main.do?rcpNo=20191231900374</t>
  </si>
  <si>
    <t>7,500 CBM LNG신조 선박 2척</t>
  </si>
  <si>
    <t>한국가스공사와의 LNG 수송계약 이행을 위한 신조선박 발주</t>
  </si>
  <si>
    <t>http://dart.fss.or.kr/dsaf001/main.do?rcpNo=20191230800402</t>
  </si>
  <si>
    <t>안트로젠</t>
  </si>
  <si>
    <t>2019.04.23</t>
  </si>
  <si>
    <t>2019.12.24</t>
  </si>
  <si>
    <t>GMP제조소 신축</t>
  </si>
  <si>
    <t>http://dart.fss.or.kr/dsaf001/main.do?rcpNo=20191224900560</t>
  </si>
  <si>
    <t>2019.06.25</t>
  </si>
  <si>
    <t>중앙연구소 및 공장 신축</t>
  </si>
  <si>
    <t>신제품 개발을 위한 연구시설 확장 및 미국 3상 임상용 의약품 생산을 위한 건물 신축</t>
  </si>
  <si>
    <t>http://dart.fss.or.kr/dsaf001/main.do?rcpNo=20191224900553</t>
  </si>
  <si>
    <t>에스엠코어</t>
  </si>
  <si>
    <t>2018.06.28</t>
  </si>
  <si>
    <t>2019.12.19</t>
  </si>
  <si>
    <t>DRAM Memory 시장 경기 악화에 따른 투자 대상을 DRAM Test Infra 구축에서 DRAM Module 제조 공정으로 변경</t>
  </si>
  <si>
    <t>반도체 DRAM Module 제조공정 구축을 위한 설비투자</t>
  </si>
  <si>
    <t>http://dart.fss.or.kr/dsaf001/main.do?rcpNo=20191219900529</t>
  </si>
  <si>
    <t>http://dart.fss.or.kr/dsaf001/main.do?rcpNo=20191219800002</t>
  </si>
  <si>
    <t>에이팩트</t>
  </si>
  <si>
    <t>생산 Capacity 증설을 위한 클린룸 공간 확보</t>
  </si>
  <si>
    <t>http://dart.fss.or.kr/dsaf001/main.do?rcpNo=20191125900045</t>
  </si>
  <si>
    <t>크린앤사이언스</t>
  </si>
  <si>
    <t>2019.03.22</t>
  </si>
  <si>
    <t>투자종료기간 연장</t>
  </si>
  <si>
    <t>FILTER부문 건물 및 설비 투자</t>
  </si>
  <si>
    <t xml:space="preserve"> FILTER 생산능력 확대를 통한 성장동력 강화 및 경쟁력 확보</t>
  </si>
  <si>
    <t>http://dart.fss.or.kr/dsaf001/main.do?rcpNo=20191118900100</t>
  </si>
  <si>
    <t>삼일씨엔에스</t>
  </si>
  <si>
    <t>PC(Precast Concrete)사업 생산설비</t>
  </si>
  <si>
    <t>PC(Precast Concrete)사업의 진출을 통해 기존 사업과의 시너지를 창출하고 미래 성장 기반을 확보하고자 함</t>
  </si>
  <si>
    <t>http://dart.fss.or.kr/dsaf001/main.do?rcpNo=20191111800421</t>
  </si>
  <si>
    <t>화천기계</t>
  </si>
  <si>
    <t>2019.11.08</t>
  </si>
  <si>
    <t xml:space="preserve"> 자동차부품 가공시설(공장증설 및 설비투자) 투자</t>
  </si>
  <si>
    <t xml:space="preserve"> 자동차 엔진 크랭크샤프트 가공 물량 수주에 따른 시설 투자</t>
  </si>
  <si>
    <t>http://dart.fss.or.kr/dsaf001/main.do?rcpNo=20191108800489</t>
  </si>
  <si>
    <t>티로보틱스</t>
  </si>
  <si>
    <t>2019.01.08</t>
  </si>
  <si>
    <t>2019.10.31</t>
  </si>
  <si>
    <t>공사 진행 상황에 따른 종료일 변경</t>
  </si>
  <si>
    <t>매출증가대비 생산 CAPA 확보를 위한 3공장 추가 시설투자</t>
  </si>
  <si>
    <t>http://dart.fss.or.kr/dsaf001/main.do?rcpNo=20191031900497</t>
  </si>
  <si>
    <t>노바렉스</t>
  </si>
  <si>
    <t>공장 신설(오송공장 신축)</t>
  </si>
  <si>
    <t>회사의 중장기 발전을 위한 신규시설 투자</t>
  </si>
  <si>
    <t>http://dart.fss.or.kr/dsaf001/main.do?rcpNo=20191031900200</t>
  </si>
  <si>
    <t>2018.11.27</t>
  </si>
  <si>
    <t>2019.10.30</t>
  </si>
  <si>
    <t>용인공장 신축공사</t>
  </si>
  <si>
    <t>신제품 생산시설 구축</t>
  </si>
  <si>
    <t>http://dart.fss.or.kr/dsaf001/main.do?rcpNo=20191030900151</t>
  </si>
  <si>
    <t>네패스</t>
  </si>
  <si>
    <t>2019.10.29</t>
  </si>
  <si>
    <t xml:space="preserve">신규시설투자 </t>
  </si>
  <si>
    <t>시스템반도체 분야의 글로벌 사업 확장을 위한 capa 확보</t>
  </si>
  <si>
    <t>http://dart.fss.or.kr/dsaf001/main.do?rcpNo=20191029900090</t>
  </si>
  <si>
    <t>2019.10.14</t>
  </si>
  <si>
    <t>질산 공장 신설</t>
  </si>
  <si>
    <t>http://dart.fss.or.kr/dsaf001/main.do?rcpNo=20191014800112</t>
  </si>
  <si>
    <t>2017.10.19</t>
  </si>
  <si>
    <t>2019.10.10</t>
  </si>
  <si>
    <t>탄천공장 황산 및 정제황산 생산시설</t>
  </si>
  <si>
    <t>정제황산 생산시설의 증설</t>
  </si>
  <si>
    <t>http://dart.fss.or.kr/dsaf001/main.do?rcpNo=20191010800737</t>
  </si>
  <si>
    <t>골드앤에스</t>
  </si>
  <si>
    <t>2017.11.06</t>
  </si>
  <si>
    <t>2019.09.30</t>
  </si>
  <si>
    <t>투자금액 축소 후 종료</t>
  </si>
  <si>
    <t>신규시설 투자(기계장치)</t>
  </si>
  <si>
    <t>이차전지 음극제 사업을 영위하기 위한 시설투자
  (이차전지 음극제 SiOx 제조를 위한 기계장치)</t>
  </si>
  <si>
    <t>http://dart.fss.or.kr/dsaf001/main.do?rcpNo=20190930900749</t>
  </si>
  <si>
    <t>KG동부제철</t>
  </si>
  <si>
    <t>2019.09.23</t>
  </si>
  <si>
    <t>칼라설비 Line 2기 신설</t>
  </si>
  <si>
    <t>고부가가치 제품생산을 통한 수익성 창출</t>
  </si>
  <si>
    <t>http://dart.fss.or.kr/dsaf001/main.do?rcpNo=20190923800017</t>
  </si>
  <si>
    <t>2019.08.02</t>
  </si>
  <si>
    <t>84,000CBM VLGC(Very Large Gas Carrier) 2척</t>
  </si>
  <si>
    <t>http://dart.fss.or.kr/dsaf001/main.do?rcpNo=20190802800090</t>
  </si>
  <si>
    <t>부산도시가스</t>
  </si>
  <si>
    <t>2019.07.25</t>
  </si>
  <si>
    <t>명지지역 연료전지 사업</t>
  </si>
  <si>
    <t>연료전지 발전 사업을 통한 기업가치 증대</t>
  </si>
  <si>
    <t>http://dart.fss.or.kr/dsaf001/main.do?rcpNo=20190725800545</t>
  </si>
  <si>
    <t>2019.07.18</t>
  </si>
  <si>
    <t>차세대 중대형 여객기 도입을 통한 중장거리
노선 경쟁력 강화</t>
  </si>
  <si>
    <t>http://dart.fss.or.kr/dsaf001/main.do?rcpNo=20190718800563</t>
  </si>
  <si>
    <t>누보</t>
  </si>
  <si>
    <t>2011.10.12</t>
  </si>
  <si>
    <t>생산CAPA확대 목적 설비투자</t>
  </si>
  <si>
    <t>https://dart.fss.or.kr/dsaf001/main.do?rcpNo=20221012900172</t>
  </si>
  <si>
    <t>건축 면적 확대 등에 따른 제반비용 증가로 투자증액</t>
  </si>
  <si>
    <t>밀양 제 2공장 신설</t>
  </si>
  <si>
    <t>생산 능력 확대 및 생산 효율성 증대</t>
  </si>
  <si>
    <t>https://dart.fss.or.kr/dsaf001/main.do?rcpNo=20230911800566</t>
  </si>
  <si>
    <t xml:space="preserve"> 산업용 검사 장비 생산능력 증대 및 의료장비 생산 시설 확보</t>
  </si>
  <si>
    <t>신속진단키트 생산능력 확대를 위한 자동화 생산기기 구매</t>
  </si>
  <si>
    <t>http://dart.fss.or.kr/dsaf001/main.do?rcpNo=20201228900051</t>
  </si>
  <si>
    <t>1. 월별 절대수익률 확률</t>
    <phoneticPr fontId="3" type="noConversion"/>
  </si>
  <si>
    <t>3. 분기 절대수익확률</t>
    <phoneticPr fontId="3" type="noConversion"/>
  </si>
  <si>
    <t>&lt;?xml version="1.0" encoding="utf-16"?&gt;&lt;WebTableParameter xmlns:xsd="http://www.w3.org/2001/XMLSchema" xmlns:xsi="http://www.w3.org/2001/XMLSchema-instance" xmlns="http://stats.oecd.org/OECDStatWS/2004/03/01/"&gt;&lt;DataTable Code="MEI_CLI" HasMetadata="true"&gt;&lt;Name LocaleIsoCode="en"&gt;Composite Leading Indicators (MEI)&lt;/Name&gt;&lt;Name LocaleIsoCode="fr"&gt;Indicateurs composites avancés (PIE)&lt;/Name&gt;&lt;Dimension Code="SUBJECT" HasMetadata="false" CommonCode="SUBJECT" Display="labels"&gt;&lt;Name LocaleIsoCode="en"&gt;Subject&lt;/Name&gt;&lt;Name LocaleIsoCode="fr"&gt;Sujet&lt;/Name&gt;&lt;Member Code="LOLITOAA" HasMetadata="true" HasOnlyUnitMetadata="false" HasChild="0"&gt;&lt;Name LocaleIsoCode="en"&gt;Amplitude adjusted (CLI)&lt;/Name&gt;&lt;Name LocaleIsoCode="fr"&gt;Corrigé de l'amplitude (ICA)&lt;/Name&gt;&lt;/Member&gt;&lt;Member Code="LOLITONO" HasMetadata="true" HasOnlyUnitMetadata="true" HasChild="0"&gt;&lt;Name LocaleIsoCode="en"&gt;Normalised (CLI)&lt;/Name&gt;&lt;Name LocaleIsoCode="fr"&gt;Normalisé (ICA)&lt;/Name&gt;&lt;/Member&gt;&lt;Member Code="LOLITOTR_STSA" HasMetadata="true" HasOnlyUnitMetadata="true" HasChild="0"&gt;&lt;Name LocaleIsoCode="en"&gt;Trend restored (CLI)&lt;/Name&gt;&lt;Name LocaleIsoCode="fr"&gt;Tendance réincorporée (ICA)&lt;/Name&gt;&lt;/Member&gt;&lt;Member Code="LOLITOTR_GYSA" HasMetadata="true" HasOnlyUnitMetadata="true" HasChild="0"&gt;&lt;Name LocaleIsoCode="en"&gt;12-month rate of change of the trend restored CLI&lt;/Name&gt;&lt;Name LocaleIsoCode="fr"&gt;Variation sur 12 mois (ICA)&lt;/Name&gt;&lt;/Member&gt;&lt;Member Code="BSCICP03" HasMetadata="true" HasOnlyUnitMetadata="false" HasChild="0"&gt;&lt;Name LocaleIsoCode="en"&gt;OECD Standardised BCI, Amplitude adjusted (Long term average=100), sa&lt;/Name&gt;&lt;Name LocaleIsoCode="fr"&gt;ICE standardisé OCDE, corrigé des amplitudes (moyenne de long-terme=100), cvs&lt;/Name&gt;&lt;/Member&gt;&lt;Member Code="CSCICP03" HasMetadata="true" HasOnlyUnitMetadata="false" HasChild="0"&gt;&lt;Name LocaleIsoCode="en"&gt;OECD Standardised CCI, Amplitude adjusted (Long term average=100), sa&lt;/Name&gt;&lt;Name LocaleIsoCode="fr"&gt;ICC standardisé OCDE, corrigé des amplitudes (moyenne de long-terme=100), cvs&lt;/Name&gt;&lt;/Member&gt;&lt;Member Code="LORSGPRT" HasMetadata="true" HasOnlyUnitMetadata="true" HasChild="0"&gt;&lt;Name LocaleIsoCode="en"&gt;Ratio to trend (GDP)&lt;/Name&gt;&lt;Name LocaleIsoCode="fr"&gt;Rapport Ã  la tendance (PIB)&lt;/Name&gt;&lt;/Member&gt;&lt;Member Code="LORSGPNO" HasMetadata="true" HasOnlyUnitMetadata="true" HasChild="0"&gt;&lt;Name LocaleIsoCode="en"&gt;Normalised (GDP)&lt;/Name&gt;&lt;Name LocaleIsoCode="fr"&gt;Normalisé (PIB)&lt;/Name&gt;&lt;/Member&gt;&lt;Member Code="LORSGPTD" HasMetadata="true" HasOnlyUnitMetadata="true" HasChild="0"&gt;&lt;Name LocaleIsoCode="en"&gt;Trend (GDP)&lt;/Name&gt;&lt;Name LocaleIsoCode="fr"&gt;Tendance (PIB)&lt;/Name&gt;&lt;/Member&gt;&lt;Member Code="LORSGPOR_IXOBSA" HasMetadata="true" HasOnlyUnitMetadata="true" HasChild="0"&gt;&lt;Name LocaleIsoCode="en"&gt;Original, seasonally adjusted (GDP)&lt;/Name&gt;&lt;Name LocaleIsoCode="fr"&gt;Série originale corrigée des variations saisonniÃ¨res (PIB)&lt;/Name&gt;&lt;/Member&gt;&lt;/Dimension&gt;&lt;Dimension Code="LOCATION" HasMetadata="false" CommonCode="LOCATION" Display="labels"&gt;&lt;Name LocaleIsoCode="en"&gt;Country&lt;/Name&gt;&lt;Name LocaleIsoCode="fr"&gt;Pays&lt;/Name&gt;&lt;Member Code="AUS" HasMetadata="true" HasOnlyUnitMetadata="false" HasChild="0"&gt;&lt;Name LocaleIsoCode="en"&gt;Australia&lt;/Name&gt;&lt;Name LocaleIsoCode="fr"&gt;Australie&lt;/Name&gt;&lt;/Member&gt;&lt;Member Code="AUT" HasMetadata="true" HasOnlyUnitMetadata="false" HasChild="0"&gt;&lt;Name LocaleIsoCode="en"&gt;Austria&lt;/Name&gt;&lt;Name LocaleIsoCode="fr"&gt;Autriche&lt;/Name&gt;&lt;/Member&gt;&lt;Member Code="BEL" HasMetadata="true" HasOnlyUnitMetadata="false" HasChild="0"&gt;&lt;Name LocaleIsoCode="en"&gt;Belgium&lt;/Name&gt;&lt;Name LocaleIsoCode="fr"&gt;Belgique&lt;/Name&gt;&lt;/Member&gt;&lt;Member Code="CAN" HasMetadata="true" HasOnlyUnitMetadata="false" HasChild="0"&gt;&lt;Name LocaleIsoCode="en"&gt;Canada&lt;/Name&gt;&lt;Name LocaleIsoCode="fr"&gt;Canada&lt;/Name&gt;&lt;/Member&gt;&lt;Member Code="CHL" HasMetadata="true" HasOnlyUnitMetadata="false" HasChild="0"&gt;&lt;Name LocaleIsoCode="en"&gt;Chile&lt;/Name&gt;&lt;Name LocaleIsoCode="fr"&gt;Chili&lt;/Name&gt;&lt;/Member&gt;&lt;Member Code="CZE" HasMetadata="true" HasOnlyUnitMetadata="false" HasChild="0"&gt;&lt;Name LocaleIsoCode="en"&gt;Czech Republic&lt;/Name&gt;&lt;Name LocaleIsoCode="fr"&gt;République tchèque&lt;/Name&gt;&lt;/Member&gt;&lt;Member Code="DNK" HasMetadata="true" HasOnlyUnitMetadata="false" HasChild="0"&gt;&lt;Name LocaleIsoCode="en"&gt;Denmark&lt;/Name&gt;&lt;Name LocaleIsoCode="fr"&gt;Danemark&lt;/Name&gt;&lt;/Member&gt;&lt;Member Code="EST" HasMetadata="true" HasOnlyUnitMetadata="false" HasChild="0"&gt;&lt;Name LocaleIsoCode="en"&gt;Estonia&lt;/Name&gt;&lt;Name LocaleIsoCode="fr"&gt;Estonie&lt;/Name&gt;&lt;/Member&gt;&lt;Member Code="FIN" HasMetadata="true" HasOnlyUnitMetadata="false" HasChild="0"&gt;&lt;Name LocaleIsoCode="en"&gt;Finland&lt;/Name&gt;&lt;Name LocaleIsoCode="fr"&gt;Finlande&lt;/Name&gt;&lt;/Member&gt;&lt;Member Code="FRA" HasMetadata="true"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HasMetadata="true" HasOnlyUnitMetadata="false" HasChild="0"&gt;&lt;Name LocaleIsoCode="en"&gt;Greece&lt;/Name&gt;&lt;Name LocaleIsoCode="fr"&gt;Grèce&lt;/Name&gt;&lt;/Member&gt;&lt;Member Code="HUN" HasMetadata="true"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HasMetadata="true" HasOnlyUnitMetadata="false" HasChild="0"&gt;&lt;Name LocaleIsoCode="en"&gt;Italy&lt;/Name&gt;&lt;Name LocaleIsoCode="fr"&gt;Italie&lt;/Name&gt;&lt;/Member&gt;&lt;Member Code="JPN" HasMetadata="true" HasOnlyUnitMetadata="false" HasChild="0"&gt;&lt;Name LocaleIsoCode="en"&gt;Japan&lt;/Name&gt;&lt;Name LocaleIsoCode="fr"&gt;Japon&lt;/Name&gt;&lt;/Member&gt;&lt;Member Code="KOR" HasMetadata="true" HasOnlyUnitMetadata="false" HasChild="0"&gt;&lt;Name LocaleIsoCode="en"&gt;Korea&lt;/Name&gt;&lt;Name LocaleIsoCode="fr"&gt;Corée&lt;/Name&gt;&lt;/Member&gt;&lt;Member Code="LUX" HasMetadata="true" HasOnlyUnitMetadata="false" HasChild="0"&gt;&lt;Name LocaleIsoCode="en"&gt;Luxembourg&lt;/Name&gt;&lt;Name LocaleIsoCode="fr"&gt;Luxembourg&lt;/Name&gt;&lt;/Member&gt;&lt;Member Code="MEX" HasMetadata="true" HasOnlyUnitMetadata="false" HasChild="0"&gt;&lt;Name LocaleIsoCode="en"&gt;Mexico&lt;/Name&gt;&lt;Name LocaleIsoCode="fr"&gt;Mexique&lt;/Name&gt;&lt;/Member&gt;&lt;Member Code="NLD" HasMetadata="true" HasOnlyUnitMetadata="false" HasChild="0"&gt;&lt;Name LocaleIsoCode="en"&gt;Netherlands&lt;/Name&gt;&lt;Name LocaleIsoCode="fr"&gt;Pays-Bas&lt;/Name&gt;&lt;/Member&gt;&lt;Member Code="NZL" HasMetadata="true" HasOnlyUnitMetadata="false" HasChild="0"&gt;&lt;Name LocaleIsoCode="en"&gt;New Zealand&lt;/Name&gt;&lt;Name LocaleIsoCode="fr"&gt;Nouvelle-Zélande&lt;/Name&gt;&lt;/Member&gt;&lt;Member Code="NOR" HasMetadata="true" HasOnlyUnitMetadata="false" HasChild="0"&gt;&lt;Name LocaleIsoCode="en"&gt;Norway&lt;/Name&gt;&lt;Name LocaleIsoCode="fr"&gt;Norvège&lt;/Name&gt;&lt;/Member&gt;&lt;Member Code="POL" HasMetadata="true" HasOnlyUnitMetadata="false" HasChild="0"&gt;&lt;Name LocaleIsoCode="en"&gt;Poland&lt;/Name&gt;&lt;Name LocaleIsoCode="fr"&gt;Pologne&lt;/Name&gt;&lt;/Member&gt;&lt;Member Code="PRT" HasMetadata="true" HasOnlyUnitMetadata="false" HasChild="0"&gt;&lt;Name LocaleIsoCode="en"&gt;Portugal&lt;/Name&gt;&lt;Name LocaleIsoCode="fr"&gt;Portugal&lt;/Name&gt;&lt;/Member&gt;&lt;Member Code="SVK" HasMetadata="true" HasOnlyUnitMetadata="false" HasChild="0"&gt;&lt;Name LocaleIsoCode="en"&gt;Slovak Republic&lt;/Name&gt;&lt;Name LocaleIsoCode="fr"&gt;République slovaque&lt;/Name&gt;&lt;/Member&gt;&lt;Member Code="SVN" HasMetadata="true" HasOnlyUnitMetadata="false" HasChild="0"&gt;&lt;Name LocaleIsoCode="en"&gt;Slovenia&lt;/Name&gt;&lt;Name LocaleIsoCode="fr"&gt;Slovénie&lt;/Name&gt;&lt;/Member&gt;&lt;Member Code="ESP" HasMetadata="true" HasOnlyUnitMetadata="false" HasChild="0"&gt;&lt;Name LocaleIsoCode="en"&gt;Spain&lt;/Name&gt;&lt;Name LocaleIsoCode="fr"&gt;Espagne&lt;/Name&gt;&lt;/Member&gt;&lt;Member Code="SWE" HasMetadata="true" HasOnlyUnitMetadata="false" HasChild="0"&gt;&lt;Name LocaleIsoCode="en"&gt;Sweden&lt;/Name&gt;&lt;Name LocaleIsoCode="fr"&gt;Suède&lt;/Name&gt;&lt;/Member&gt;&lt;Member Code="CHE" HasMetadata="true" HasOnlyUnitMetadata="false" HasChild="0"&gt;&lt;Name LocaleIsoCode="en"&gt;Switzerland&lt;/Name&gt;&lt;Name LocaleIsoCode="fr"&gt;Suisse&lt;/Name&gt;&lt;/Member&gt;&lt;Member Code="TUR" HasMetadata="true" HasOnlyUnitMetadata="false" HasChild="0"&gt;&lt;Name LocaleIsoCode="en"&gt;Türkiye&lt;/Name&gt;&lt;Name LocaleIsoCode="fr"&gt;Türkiye&lt;/Name&gt;&lt;/Member&gt;&lt;Member Code="GBR" HasMetadata="true" HasOnlyUnitMetadata="false" HasChild="0"&gt;&lt;Name LocaleIsoCode="en"&gt;United Kingdom&lt;/Name&gt;&lt;Name LocaleIsoCode="fr"&gt;Royaume-Uni&lt;/Name&gt;&lt;/Member&gt;&lt;Member Code="USA" HasMetadata="true" HasOnlyUnitMetadata="false" HasChild="0"&gt;&lt;Name LocaleIsoCode="en"&gt;United States&lt;/Name&gt;&lt;Name LocaleIsoCode="fr"&gt;États-Unis&lt;/Name&gt;&lt;/Member&gt;&lt;Member Code="EA19" HasMetadata="true" HasOnlyUnitMetadata="false" HasChild="0"&gt;&lt;Name LocaleIsoCode="en"&gt;Euro area (19 countries)&lt;/Name&gt;&lt;Name LocaleIsoCode="fr"&gt;Zone euro (19 pays)&lt;/Name&gt;&lt;/Member&gt;&lt;Member Code="G4E" HasMetadata="false" HasOnlyUnitMetadata="false" HasChild="0"&gt;&lt;Name LocaleIsoCode="en"&gt;Four Big European&lt;/Name&gt;&lt;Name LocaleIsoCode="fr"&gt;Quatre Grands Européens&lt;/Name&gt;&lt;/Member&gt;&lt;Member Code="G-7" HasMetadata="true" HasOnlyUnitMetadata="false" HasChild="0"&gt;&lt;Name LocaleIsoCode="en"&gt;G7&lt;/Name&gt;&lt;Name LocaleIsoCode="fr"&gt;G7&lt;/Name&gt;&lt;/Member&gt;&lt;Member Code="NAFTA" HasMetadata="false" HasOnlyUnitMetadata="false" HasChild="0"&gt;&lt;Name LocaleIsoCode="en"&gt;NAFTA&lt;/Name&gt;&lt;Name LocaleIsoCode="fr"&gt;ALENA&lt;/Name&gt;&lt;/Member&gt;&lt;Member Code="OECDE" HasMetadata="false" HasOnlyUnitMetadata="false" HasChild="0"&gt;&lt;Name LocaleIsoCode="en"&gt;OECD - Europe&lt;/Name&gt;&lt;Name LocaleIsoCode="fr"&gt;OCDE - Europe&lt;/Name&gt;&lt;/Member&gt;&lt;Member Code="OECD" HasMetadata="true" HasOnlyUnitMetadata="false" HasChild="0"&gt;&lt;Name LocaleIsoCode="en"&gt;OECD - Total&lt;/Name&gt;&lt;Name LocaleIsoCode="fr"&gt;OCDE - Total&lt;/Name&gt;&lt;/Member&gt;&lt;Member Code="ONM" HasMetadata="false" HasOnlyUnitMetadata="false" HasChild="0"&gt;&lt;Name LocaleIsoCode="en"&gt;OECD + Major Six NME&lt;/Name&gt;&lt;Name LocaleIsoCode="fr"&gt;OCDE + Six Grands ENM&lt;/Name&gt;&lt;/Member&gt;&lt;Member Code="A5M" HasMetadata="false" HasOnlyUnitMetadata="false" HasChild="0"&gt;&lt;Name LocaleIsoCode="en"&gt;Major Five Asia&lt;/Name&gt;&lt;Name LocaleIsoCode="fr"&gt;Cinq Grands Asie&lt;/Name&gt;&lt;/Member&gt;&lt;Member Code="BRA" HasMetadata="true" HasOnlyUnitMetadata="false" HasChild="0"&gt;&lt;Name LocaleIsoCode="en"&gt;Brazil&lt;/Name&gt;&lt;Name LocaleIsoCode="fr"&gt;Brésil&lt;/Name&gt;&lt;/Member&gt;&lt;Member Code="CHN" HasMetadata="true" HasOnlyUnitMetadata="false" HasChild="0"&gt;&lt;Name LocaleIsoCode="en"&gt;China (People's Republic of)&lt;/Name&gt;&lt;Name LocaleIsoCode="fr"&gt;Chine (République populaire de)&lt;/Name&gt;&lt;/Member&gt;&lt;Member Code="IND" HasMetadata="true" HasOnlyUnitMetadata="false" HasChild="0"&gt;&lt;Name LocaleIsoCode="en"&gt;India&lt;/Name&gt;&lt;Name LocaleIsoCode="fr"&gt;Inde&lt;/Name&gt;&lt;/Member&gt;&lt;Member Code="IDN" HasMetadata="true" HasOnlyUnitMetadata="false" HasChild="0"&gt;&lt;Name LocaleIsoCode="en"&gt;Indonesia&lt;/Name&gt;&lt;Name LocaleIsoCode="fr"&gt;Indonésie&lt;/Name&gt;&lt;/Member&gt;&lt;Member Code="RUS" HasMetadata="true" HasOnlyUnitMetadata="false" HasChild="0"&gt;&lt;Name LocaleIsoCode="en"&gt;Russia&lt;/Name&gt;&lt;Name LocaleIsoCode="fr"&gt;Russie&lt;/Name&gt;&lt;/Member&gt;&lt;Member Code="ZAF" HasMetadata="true" HasOnlyUnitMetadata="false" HasChild="0"&gt;&lt;Name LocaleIsoCode="en"&gt;South Africa&lt;/Name&gt;&lt;Name LocaleIsoCode="fr"&gt;Afrique du Sud&lt;/Name&gt;&lt;/Member&gt;&lt;/Dimension&gt;&lt;Dimension Code="FREQUENCY" HasMetadata="false" CommonCode="FREQUENCY" Display="labels"&gt;&lt;Name LocaleIsoCode="en"&gt;Frequency&lt;/Name&gt;&lt;Name LocaleIsoCode="fr"&gt;Fréquence&lt;/Name&gt;&lt;Member Code="M" HasMetadata="false"&gt;&lt;Name LocaleIsoCode="en"&gt;Monthly&lt;/Name&gt;&lt;Name LocaleIsoCode="fr"&gt;Mensuelle&lt;/Name&gt;&lt;/Member&gt;&lt;/Dimension&gt;&lt;Dimension Code="TIME" HasMetadata="false" CommonCode="TIME" Display="labels"&gt;&lt;Name LocaleIsoCode="en"&gt;Time&lt;/Name&gt;&lt;Name LocaleIsoCode="fr"&gt;Temps&lt;/Name&gt;&lt;Member Code="2020M11" HasMetadata="false"&gt;&lt;Name LocaleIsoCode="en"&gt;Nov-2020&lt;/Name&gt;&lt;Name LocaleIsoCode="fr"&gt;Nov-2020&lt;/Name&gt;&lt;/Member&gt;&lt;Member Code="2020M12" HasMetadata="false"&gt;&lt;Name LocaleIsoCode="en"&gt;Dec-2020&lt;/Name&gt;&lt;Name LocaleIsoCode="fr"&gt;Déc-2020&lt;/Name&gt;&lt;/Member&gt;&lt;Member Code="2021M1" HasMetadata="false"&gt;&lt;Name LocaleIsoCode="en"&gt;Jan-2021&lt;/Name&gt;&lt;Name LocaleIsoCode="fr"&gt;Janv-2021&lt;/Name&gt;&lt;/Member&gt;&lt;Member Code="2021M2" HasMetadata="false"&gt;&lt;Name LocaleIsoCode="en"&gt;Feb-2021&lt;/Name&gt;&lt;Name LocaleIsoCode="fr"&gt;Févr-2021&lt;/Name&gt;&lt;/Member&gt;&lt;Member Code="2021M3" HasMetadata="false"&gt;&lt;Name LocaleIsoCode="en"&gt;Mar-2021&lt;/Name&gt;&lt;Name LocaleIsoCode="fr"&gt;Mars-2021&lt;/Name&gt;&lt;/Member&gt;&lt;Member Code="2021M4" HasMetadata="false"&gt;&lt;Name LocaleIsoCode="en"&gt;Apr-2021&lt;/Name&gt;&lt;Name LocaleIsoCode="fr"&gt;Avr-2021&lt;/Name&gt;&lt;/Member&gt;&lt;Member Code="2021M5" HasMetadata="false"&gt;&lt;Name LocaleIsoCode="en"&gt;May-2021&lt;/Name&gt;&lt;Name LocaleIsoCode="fr"&gt;Mai-2021&lt;/Name&gt;&lt;/Member&gt;&lt;Member Code="2021M6" HasMetadata="false"&gt;&lt;Name LocaleIsoCode="en"&gt;Jun-2021&lt;/Name&gt;&lt;Name LocaleIsoCode="fr"&gt;Juin-2021&lt;/Name&gt;&lt;/Member&gt;&lt;Member Code="2021M7" HasMetadata="false"&gt;&lt;Name LocaleIsoCode="en"&gt;Jul-2021&lt;/Name&gt;&lt;Name LocaleIsoCode="fr"&gt;Juil-2021&lt;/Name&gt;&lt;/Member&gt;&lt;Member Code="2021M8" HasMetadata="false"&gt;&lt;Name LocaleIsoCode="en"&gt;Aug-2021&lt;/Name&gt;&lt;Name LocaleIsoCode="fr"&gt;Août-2021&lt;/Name&gt;&lt;/Member&gt;&lt;Member Code="2021M9" HasMetadata="false"&gt;&lt;Name LocaleIsoCode="en"&gt;Sep-2021&lt;/Name&gt;&lt;Name LocaleIsoCode="fr"&gt;Sept-2021&lt;/Name&gt;&lt;/Member&gt;&lt;Member Code="2021M10" HasMetadata="false"&gt;&lt;Name LocaleIsoCode="en"&gt;Oct-2021&lt;/Name&gt;&lt;Name LocaleIsoCode="fr"&gt;Oct-2021&lt;/Name&gt;&lt;/Member&gt;&lt;Member Code="2021M11" HasMetadata="false"&gt;&lt;Name LocaleIsoCode="en"&gt;Nov-2021&lt;/Name&gt;&lt;Name LocaleIsoCode="fr"&gt;Nov-2021&lt;/Name&gt;&lt;/Member&gt;&lt;Member Code="2021M12" HasMetadata="false"&gt;&lt;Name LocaleIsoCode="en"&gt;Dec-2021&lt;/Name&gt;&lt;Name LocaleIsoCode="fr"&gt;Déc-2021&lt;/Name&gt;&lt;/Member&gt;&lt;Member Code="2022M1" HasMetadata="false"&gt;&lt;Name LocaleIsoCode="en"&gt;Jan-2022&lt;/Name&gt;&lt;Name LocaleIsoCode="fr"&gt;Janv-2022&lt;/Name&gt;&lt;/Member&gt;&lt;Member Code="2022M2" HasMetadata="false"&gt;&lt;Name LocaleIsoCode="en"&gt;Feb-2022&lt;/Name&gt;&lt;Name LocaleIsoCode="fr"&gt;Févr-2022&lt;/Name&gt;&lt;/Member&gt;&lt;Member Code="2022M3" HasMetadata="false"&gt;&lt;Name LocaleIsoCode="en"&gt;Mar-2022&lt;/Name&gt;&lt;Name LocaleIsoCode="fr"&gt;Mars-2022&lt;/Name&gt;&lt;/Member&gt;&lt;Member Code="2022M4" HasMetadata="false"&gt;&lt;Name LocaleIsoCode="en"&gt;Apr-2022&lt;/Name&gt;&lt;Name LocaleIsoCode="fr"&gt;Avr-2022&lt;/Name&gt;&lt;/Member&gt;&lt;Member Code="2022M5" HasMetadata="false"&gt;&lt;Name LocaleIsoCode="en"&gt;May-2022&lt;/Name&gt;&lt;Name LocaleIsoCode="fr"&gt;Mai-2022&lt;/Name&gt;&lt;/Member&gt;&lt;Member Code="2022M6" HasMetadata="false"&gt;&lt;Name LocaleIsoCode="en"&gt;Jun-2022&lt;/Name&gt;&lt;Name LocaleIsoCode="fr"&gt;Juin-2022&lt;/Name&gt;&lt;/Member&gt;&lt;Member Code="2022M7" HasMetadata="false"&gt;&lt;Name LocaleIsoCode="en"&gt;Jul-2022&lt;/Name&gt;&lt;Name LocaleIsoCode="fr"&gt;Juil-2022&lt;/Name&gt;&lt;/Member&gt;&lt;Member Code="2022M8" HasMetadata="false"&gt;&lt;Name LocaleIsoCode="en"&gt;Aug-2022&lt;/Name&gt;&lt;Name LocaleIsoCode="fr"&gt;Août-2022&lt;/Name&gt;&lt;/Member&gt;&lt;Member Code="2022M9" HasMetadata="false"&gt;&lt;Name LocaleIsoCode="en"&gt;Sep-2022&lt;/Name&gt;&lt;Name LocaleIsoCode="fr"&gt;Sept-2022&lt;/Name&gt;&lt;/Member&gt;&lt;Member Code="2022M10" HasMetadata="false"&gt;&lt;Name LocaleIsoCode="en"&gt;Oct-2022&lt;/Name&gt;&lt;Name LocaleIsoCode="fr"&gt;Oct-2022&lt;/Name&gt;&lt;/Member&gt;&lt;/Dimension&gt;&lt;WBOSInformations&gt;&lt;TimeDimension WebTreeWasUsed="false"&gt;&lt;NumberOfPeriods Annual="0" Semesters="0" Quarters="0" Months="24" Weeks="0" Days="0" /&gt;&lt;/TimeDimension&gt;&lt;/WBOSInformations&gt;&lt;Tabulation Axis="horizontal"&gt;&lt;Dimension Code="LOCATION" CommonCode="LOCATION" /&gt;&lt;/Tabulation&gt;&lt;Tabulation Axis="vertical"&gt;&lt;Dimension Code="TIME" CommonCode="TIME" /&gt;&lt;/Tabulation&gt;&lt;Tabulation Axis="page"&gt;&lt;Dimension Code="SUBJECT" CommonCode="SUBJECT" /&gt;&lt;Dimension Code="FREQUENCY" CommonCode="FREQUENCY"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TimeStamp&gt;false&lt;/TimeStamp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</si>
  <si>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Subject</t>
  </si>
  <si>
    <t>Amplitude adjusted (CLI)</t>
  </si>
  <si>
    <t>Frequency</t>
  </si>
  <si>
    <t>Monthly</t>
  </si>
  <si>
    <t>Unit</t>
  </si>
  <si>
    <t>Index</t>
  </si>
  <si>
    <t>Country</t>
  </si>
  <si>
    <t>Australia</t>
  </si>
  <si>
    <t>Canada</t>
  </si>
  <si>
    <t>France</t>
  </si>
  <si>
    <t>Germany</t>
  </si>
  <si>
    <t>Italy</t>
  </si>
  <si>
    <t>Japan</t>
  </si>
  <si>
    <t>Korea</t>
  </si>
  <si>
    <t>Mexico</t>
  </si>
  <si>
    <t>Spain</t>
  </si>
  <si>
    <t>Türkiye</t>
  </si>
  <si>
    <t>United Kingdom</t>
  </si>
  <si>
    <t>United States</t>
  </si>
  <si>
    <t>Major four European countries</t>
  </si>
  <si>
    <t>G7</t>
  </si>
  <si>
    <t>G20</t>
  </si>
  <si>
    <t>총갯수</t>
    <phoneticPr fontId="5" type="noConversion"/>
  </si>
  <si>
    <t>Time</t>
  </si>
  <si>
    <t/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</si>
  <si>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</si>
  <si>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</si>
  <si>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</si>
  <si>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</si>
  <si>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</si>
  <si>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</si>
  <si>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</si>
  <si>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</si>
  <si>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확산지수</t>
    <phoneticPr fontId="5" type="noConversion"/>
  </si>
  <si>
    <t>참조 영역</t>
  </si>
  <si>
    <t>호주</t>
  </si>
  <si>
    <t>캐나다</t>
  </si>
  <si>
    <t>프랑스</t>
  </si>
  <si>
    <t>독일</t>
  </si>
  <si>
    <t>이탈리아</t>
  </si>
  <si>
    <t>일본</t>
  </si>
  <si>
    <t>한국</t>
  </si>
  <si>
    <t>멕시코</t>
  </si>
  <si>
    <t>스페인</t>
  </si>
  <si>
    <t>터키어</t>
  </si>
  <si>
    <t>영국</t>
  </si>
  <si>
    <t>미국</t>
  </si>
  <si>
    <t>유럽의 주요 4개국</t>
  </si>
  <si>
    <t>·</t>
  </si>
  <si>
    <t>기간</t>
  </si>
  <si>
    <r>
      <t>측정 단위: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 지수, 진폭 조정</t>
    </r>
  </si>
  <si>
    <t>미국</t>
    <phoneticPr fontId="3" type="noConversion"/>
  </si>
  <si>
    <t>한국</t>
    <phoneticPr fontId="3" type="noConversion"/>
  </si>
  <si>
    <t>2. 월별 평균 수익률</t>
    <phoneticPr fontId="3" type="noConversion"/>
  </si>
  <si>
    <t>4. 분기 평균수익률</t>
    <phoneticPr fontId="3" type="noConversion"/>
  </si>
  <si>
    <t>3Q24</t>
    <phoneticPr fontId="5" type="noConversion"/>
  </si>
  <si>
    <t>STX엔진</t>
    <phoneticPr fontId="5" type="noConversion"/>
  </si>
  <si>
    <t>산일전기</t>
    <phoneticPr fontId="3" type="noConversion"/>
  </si>
  <si>
    <t>삼화전기</t>
    <phoneticPr fontId="3" type="noConversion"/>
  </si>
  <si>
    <t>전해콘덴서 + 그린캡</t>
    <phoneticPr fontId="3" type="noConversion"/>
  </si>
  <si>
    <t>SSD</t>
    <phoneticPr fontId="3" type="noConversion"/>
  </si>
  <si>
    <t>에이치브이엠</t>
    <phoneticPr fontId="3" type="noConversion"/>
  </si>
  <si>
    <t>우주 등</t>
    <phoneticPr fontId="3" type="noConversion"/>
  </si>
  <si>
    <t>발사서비스</t>
    <phoneticPr fontId="3" type="noConversion"/>
  </si>
  <si>
    <t>USD 1000</t>
    <phoneticPr fontId="3" type="noConversion"/>
  </si>
  <si>
    <t>이노스페이스</t>
    <phoneticPr fontId="3" type="noConversion"/>
  </si>
  <si>
    <t>Reference area</t>
  </si>
  <si>
    <t>Non-OECD economies</t>
  </si>
  <si>
    <t>Brazil</t>
  </si>
  <si>
    <t>China (People’s Republic of)</t>
  </si>
  <si>
    <t>India</t>
  </si>
  <si>
    <t>Indonesia</t>
  </si>
  <si>
    <t>South Africa</t>
  </si>
  <si>
    <t>Major five Asia economies</t>
  </si>
  <si>
    <t>NAFTA</t>
  </si>
  <si>
    <t>Time period</t>
  </si>
  <si>
    <t>2024-Oct</t>
  </si>
  <si>
    <r>
      <t>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</si>
  <si>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r>
      <t>Unit of measure: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</si>
  <si>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t>2024-Nov</t>
  </si>
  <si>
    <t>2024-Dec</t>
  </si>
  <si>
    <r>
      <t>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</si>
  <si>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r>
      <t> of measure: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</si>
  <si>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t>2025-Jan</t>
  </si>
  <si>
    <t>년도</t>
    <phoneticPr fontId="3" type="noConversion"/>
  </si>
  <si>
    <t>SNT에너지</t>
    <phoneticPr fontId="3" type="noConversion"/>
  </si>
  <si>
    <t>보일러</t>
    <phoneticPr fontId="3" type="noConversion"/>
  </si>
  <si>
    <t>4Q24</t>
    <phoneticPr fontId="5" type="noConversion"/>
  </si>
  <si>
    <t>지엔씨에너지</t>
    <phoneticPr fontId="3" type="noConversion"/>
  </si>
  <si>
    <t>억원</t>
    <phoneticPr fontId="3" type="noConversion"/>
  </si>
  <si>
    <t>HD현대마린엔진</t>
    <phoneticPr fontId="5" type="noConversion"/>
  </si>
  <si>
    <t>강관</t>
    <phoneticPr fontId="3" type="noConversion"/>
  </si>
  <si>
    <t>세아제강</t>
    <phoneticPr fontId="5" type="noConversion"/>
  </si>
  <si>
    <t>SK이터닉스</t>
    <phoneticPr fontId="3" type="noConversion"/>
  </si>
  <si>
    <t>발전 EPC공사</t>
    <phoneticPr fontId="3" type="noConversion"/>
  </si>
  <si>
    <t>백만원</t>
    <phoneticPr fontId="3" type="noConversion"/>
  </si>
  <si>
    <t>HD현대마린솔루션</t>
    <phoneticPr fontId="5" type="noConversion"/>
  </si>
  <si>
    <t>칭환경개조</t>
    <phoneticPr fontId="3" type="noConversion"/>
  </si>
  <si>
    <t>220 data points selected in this dataset with:</t>
  </si>
  <si>
    <t>Measure:</t>
  </si>
  <si>
    <t>2025-Feb</t>
  </si>
  <si>
    <t>2025-Mar</t>
  </si>
  <si>
    <t>2017-Jan</t>
  </si>
  <si>
    <t>2017-Feb</t>
  </si>
  <si>
    <t>2017-Mar</t>
  </si>
  <si>
    <t>2017-Apr</t>
  </si>
  <si>
    <t>2017-May</t>
  </si>
  <si>
    <t>2017-Jun</t>
  </si>
  <si>
    <t>2017-Jul</t>
  </si>
  <si>
    <t>2017-Aug</t>
  </si>
  <si>
    <t>2017-Sep</t>
  </si>
  <si>
    <t>2017-Oct</t>
  </si>
  <si>
    <t>2017-Nov</t>
  </si>
  <si>
    <t>2017-Dec</t>
  </si>
  <si>
    <t>2018-Jan</t>
  </si>
  <si>
    <t>2018-Feb</t>
  </si>
  <si>
    <t>2018-Mar</t>
  </si>
  <si>
    <t>2018-Apr</t>
  </si>
  <si>
    <t>2018-May</t>
  </si>
  <si>
    <t>2018-Jun</t>
  </si>
  <si>
    <t>2018-Jul</t>
  </si>
  <si>
    <t>2018-Aug</t>
  </si>
  <si>
    <t>2018-Sep</t>
  </si>
  <si>
    <t>2018-Oct</t>
  </si>
  <si>
    <t>2018-Nov</t>
  </si>
  <si>
    <t>2018-Dec</t>
  </si>
  <si>
    <t>2019-Jan</t>
  </si>
  <si>
    <t>2019-Feb</t>
  </si>
  <si>
    <t>2019-Mar</t>
  </si>
  <si>
    <t>2019-Apr</t>
  </si>
  <si>
    <t>2019-May</t>
  </si>
  <si>
    <t>2019-Jun</t>
  </si>
  <si>
    <t>2019-Jul</t>
  </si>
  <si>
    <t>2019-Aug</t>
  </si>
  <si>
    <t>2019-Sep</t>
  </si>
  <si>
    <t>2019-Oct</t>
  </si>
  <si>
    <t>2019-Nov</t>
  </si>
  <si>
    <t>2019-Dec</t>
  </si>
  <si>
    <t>2020-Jan</t>
  </si>
  <si>
    <t>2020-Feb</t>
  </si>
  <si>
    <t>2020-Mar</t>
  </si>
  <si>
    <t>2020-Apr</t>
  </si>
  <si>
    <t>2020-May</t>
  </si>
  <si>
    <t>2020-Jun</t>
  </si>
  <si>
    <t>2020-Jul</t>
  </si>
  <si>
    <t>2020-Aug</t>
  </si>
  <si>
    <t>2020-Sep</t>
  </si>
  <si>
    <t>2020-Oct</t>
  </si>
  <si>
    <t>2020-Nov</t>
  </si>
  <si>
    <t>2020-Dec</t>
  </si>
  <si>
    <t>2021-Jan</t>
  </si>
  <si>
    <t>2021-Feb</t>
  </si>
  <si>
    <t>2021-Mar</t>
  </si>
  <si>
    <t>2021-Apr</t>
  </si>
  <si>
    <t>2021-May</t>
  </si>
  <si>
    <t>2021-Jun</t>
  </si>
  <si>
    <t>2021-Jul</t>
  </si>
  <si>
    <t>2021-Aug</t>
  </si>
  <si>
    <t>2021-Sep</t>
  </si>
  <si>
    <t>2021-Oct</t>
  </si>
  <si>
    <t>2021-Nov</t>
  </si>
  <si>
    <t>2021-Dec</t>
  </si>
  <si>
    <t>2022-Jan</t>
  </si>
  <si>
    <t>2022-Feb</t>
  </si>
  <si>
    <t>2022-Mar</t>
  </si>
  <si>
    <t>2022-Apr</t>
  </si>
  <si>
    <t>2022-May</t>
  </si>
  <si>
    <t>2022-Jun</t>
  </si>
  <si>
    <t>2022-Jul</t>
  </si>
  <si>
    <t>2022-Aug</t>
  </si>
  <si>
    <t>2022-Sep</t>
  </si>
  <si>
    <t>2022-Oct</t>
  </si>
  <si>
    <t>2022-Nov</t>
  </si>
  <si>
    <t>2022-Dec</t>
  </si>
  <si>
    <t>2023-Jan</t>
  </si>
  <si>
    <t>2023-Feb</t>
  </si>
  <si>
    <t>2023-Mar</t>
  </si>
  <si>
    <t>2023-Apr</t>
  </si>
  <si>
    <t>2023-May</t>
  </si>
  <si>
    <t>2023-Jun</t>
  </si>
  <si>
    <t>2023-Jul</t>
  </si>
  <si>
    <t>2023-Aug</t>
  </si>
  <si>
    <t>2023-Sep</t>
  </si>
  <si>
    <t>2023-Oct</t>
  </si>
  <si>
    <t>2023-Nov</t>
  </si>
  <si>
    <t>2023-Dec</t>
  </si>
  <si>
    <t>2024-Jan</t>
  </si>
  <si>
    <t>yoy</t>
    <phoneticPr fontId="3" type="noConversion"/>
  </si>
  <si>
    <t>mom</t>
    <phoneticPr fontId="3" type="noConversion"/>
  </si>
  <si>
    <t>mpm</t>
    <phoneticPr fontId="3" type="noConversion"/>
  </si>
  <si>
    <t>1Q25</t>
    <phoneticPr fontId="5" type="noConversion"/>
  </si>
  <si>
    <t>1Q25</t>
    <phoneticPr fontId="5" type="noConversion"/>
  </si>
  <si>
    <t>미중 관세 마감 시한</t>
    <phoneticPr fontId="5" type="noConversion"/>
  </si>
  <si>
    <t>2Q25</t>
    <phoneticPr fontId="5" type="noConversion"/>
  </si>
  <si>
    <t>가온전선</t>
    <phoneticPr fontId="3" type="noConversion"/>
  </si>
  <si>
    <t>삼성E&amp;A</t>
    <phoneticPr fontId="3" type="noConversion"/>
  </si>
  <si>
    <t>억원</t>
    <phoneticPr fontId="3" type="noConversion"/>
  </si>
  <si>
    <t>미코</t>
    <phoneticPr fontId="3" type="noConversion"/>
  </si>
  <si>
    <t>백만원</t>
    <phoneticPr fontId="3" type="noConversion"/>
  </si>
  <si>
    <t>11월 10일</t>
    <phoneticPr fontId="5" type="noConversion"/>
  </si>
  <si>
    <t>2026년</t>
    <phoneticPr fontId="3" type="noConversion"/>
  </si>
  <si>
    <t>3Q25</t>
    <phoneticPr fontId="5" type="noConversion"/>
  </si>
  <si>
    <t>J.P. Morgan 헬스케어 컨퍼런스 (JPM 2026)</t>
    <phoneticPr fontId="3" type="noConversion"/>
  </si>
  <si>
    <t>1월 6일~9일</t>
    <phoneticPr fontId="3" type="noConversion"/>
  </si>
  <si>
    <t>1월 12일~15일</t>
    <phoneticPr fontId="3" type="noConversion"/>
  </si>
  <si>
    <t>CES 2026</t>
    <phoneticPr fontId="3" type="noConversion"/>
  </si>
  <si>
    <t>1월 29일</t>
    <phoneticPr fontId="3" type="noConversion"/>
  </si>
  <si>
    <t>FOMC 금리결정</t>
    <phoneticPr fontId="3" type="noConversion"/>
  </si>
  <si>
    <t>3월</t>
    <phoneticPr fontId="3" type="noConversion"/>
  </si>
  <si>
    <t>전인대</t>
    <phoneticPr fontId="3" type="noConversion"/>
  </si>
  <si>
    <t>7월 7일~8일</t>
    <phoneticPr fontId="3" type="noConversion"/>
  </si>
  <si>
    <t>나토정상회의</t>
    <phoneticPr fontId="5" type="noConversion"/>
  </si>
  <si>
    <t>1월 19일~23일</t>
    <phoneticPr fontId="3" type="noConversion"/>
  </si>
  <si>
    <t>다보스포럼</t>
    <phoneticPr fontId="3" type="noConversion"/>
  </si>
  <si>
    <t>실적발표</t>
    <phoneticPr fontId="3" type="noConversion"/>
  </si>
  <si>
    <t>2월 23일</t>
    <phoneticPr fontId="3" type="noConversion"/>
  </si>
  <si>
    <t xml:space="preserve"> World ADC-Europe (유럽 월드 ADC)</t>
    <phoneticPr fontId="3" type="noConversion"/>
  </si>
  <si>
    <t>2월 27일</t>
    <phoneticPr fontId="3" type="noConversion"/>
  </si>
  <si>
    <t xml:space="preserve">AAAI(미국 알레르기, 천식, 면역 학회) </t>
    <phoneticPr fontId="3" type="noConversion"/>
  </si>
  <si>
    <t>3월 17일</t>
    <phoneticPr fontId="3" type="noConversion"/>
  </si>
  <si>
    <t xml:space="preserve"> AD/PD (알츠하이머/파킨슨병 학회 국제학술회의) </t>
    <phoneticPr fontId="3" type="noConversion"/>
  </si>
  <si>
    <t xml:space="preserve">- 6월 5일 : ADA(미국 당뇨 학회) </t>
  </si>
  <si>
    <t xml:space="preserve">- 6월 13일 : ENDO(미국 내분비 학회) </t>
  </si>
  <si>
    <t xml:space="preserve">- 6월 16일 : EACR(유럽 암연구학회) </t>
  </si>
  <si>
    <t>- 6월 22일 : BIO International Convention(바이오 인터내셔널 컨벤션)</t>
  </si>
  <si>
    <t xml:space="preserve">ADA(미국 당뇨 학회) </t>
    <phoneticPr fontId="3" type="noConversion"/>
  </si>
  <si>
    <t xml:space="preserve">ENDO(미국 내분비 학회) </t>
    <phoneticPr fontId="3" type="noConversion"/>
  </si>
  <si>
    <t>6월 5일</t>
    <phoneticPr fontId="3" type="noConversion"/>
  </si>
  <si>
    <t>6월 13일</t>
    <phoneticPr fontId="3" type="noConversion"/>
  </si>
  <si>
    <t>6월 16일</t>
    <phoneticPr fontId="3" type="noConversion"/>
  </si>
  <si>
    <t>6월 22일</t>
    <phoneticPr fontId="3" type="noConversion"/>
  </si>
  <si>
    <t>BIO International Convention(바이오 인터내셔널 컨벤션)</t>
    <phoneticPr fontId="3" type="noConversion"/>
  </si>
  <si>
    <t xml:space="preserve">EACR(유럽 암연구학회) </t>
    <phoneticPr fontId="3" type="noConversion"/>
  </si>
  <si>
    <t>1월 5일</t>
    <phoneticPr fontId="3" type="noConversion"/>
  </si>
  <si>
    <t>현대차 로보틱스 전략 발표</t>
    <phoneticPr fontId="3" type="noConversion"/>
  </si>
  <si>
    <t>1월 23일</t>
    <phoneticPr fontId="3" type="noConversion"/>
  </si>
  <si>
    <t>1월 30일</t>
    <phoneticPr fontId="3" type="noConversion"/>
  </si>
  <si>
    <t>1월 31일</t>
    <phoneticPr fontId="3" type="noConversion"/>
  </si>
  <si>
    <t>1월 9일</t>
    <phoneticPr fontId="3" type="noConversion"/>
  </si>
  <si>
    <t>고용지표</t>
    <phoneticPr fontId="3" type="noConversion"/>
  </si>
  <si>
    <t>1월 8일</t>
    <phoneticPr fontId="3" type="noConversion"/>
  </si>
  <si>
    <t>삼성전자 잠정실적 발표</t>
    <phoneticPr fontId="3" type="noConversion"/>
  </si>
  <si>
    <t>1월 21일</t>
    <phoneticPr fontId="3" type="noConversion"/>
  </si>
  <si>
    <t>어플라이드 디지털</t>
    <phoneticPr fontId="3" type="noConversion"/>
  </si>
  <si>
    <t>1월 14일</t>
    <phoneticPr fontId="3" type="noConversion"/>
  </si>
  <si>
    <t>JPM, 델타항공</t>
    <phoneticPr fontId="3" type="noConversion"/>
  </si>
  <si>
    <t>1월 15일</t>
    <phoneticPr fontId="3" type="noConversion"/>
  </si>
  <si>
    <t>1월 16일</t>
    <phoneticPr fontId="3" type="noConversion"/>
  </si>
  <si>
    <t>모건스탠리, 골드만삭스</t>
    <phoneticPr fontId="3" type="noConversion"/>
  </si>
  <si>
    <t>넷플릭스</t>
    <phoneticPr fontId="3" type="noConversion"/>
  </si>
  <si>
    <t>1월 22일</t>
    <phoneticPr fontId="3" type="noConversion"/>
  </si>
  <si>
    <t>존슨앤존슨, 찰스슈왑, 킨더모건</t>
    <phoneticPr fontId="3" type="noConversion"/>
  </si>
  <si>
    <t>1월 28일</t>
    <phoneticPr fontId="3" type="noConversion"/>
  </si>
  <si>
    <t>1월 20일</t>
    <phoneticPr fontId="3" type="noConversion"/>
  </si>
  <si>
    <t>테크윙 기업설명회</t>
    <phoneticPr fontId="3" type="noConversion"/>
  </si>
  <si>
    <t>SK하이닉스 ADR 상장 풍문조회</t>
    <phoneticPr fontId="3" type="noConversion"/>
  </si>
  <si>
    <t>1월 27일</t>
    <phoneticPr fontId="3" type="noConversion"/>
  </si>
  <si>
    <t>핵연료 공급 포럼</t>
    <phoneticPr fontId="3" type="noConversion"/>
  </si>
  <si>
    <t>워싱턴 DC</t>
    <phoneticPr fontId="3" type="noConversion"/>
  </si>
  <si>
    <t>1월 27일~28일</t>
    <phoneticPr fontId="3" type="noConversion"/>
  </si>
  <si>
    <t>원자력 재정 정상회의</t>
    <phoneticPr fontId="3" type="noConversion"/>
  </si>
  <si>
    <t>뉴욕</t>
    <phoneticPr fontId="3" type="noConversion"/>
  </si>
  <si>
    <t>원자력 에너지 컨퍼런스 및 엑스포</t>
    <phoneticPr fontId="5" type="noConversion"/>
  </si>
  <si>
    <t>8월 24일 ~27일</t>
    <phoneticPr fontId="3" type="noConversion"/>
  </si>
  <si>
    <t>10월 18일~21일</t>
    <phoneticPr fontId="3" type="noConversion"/>
  </si>
  <si>
    <t>국제 우라늄 연료 세미나</t>
    <phoneticPr fontId="5" type="noConversion"/>
  </si>
  <si>
    <t>https://www.nei.org/conferences?utm_source=chatgpt.com#section1</t>
    <phoneticPr fontId="3" type="noConversion"/>
  </si>
  <si>
    <t>1월 28일~30일</t>
    <phoneticPr fontId="3" type="noConversion"/>
  </si>
  <si>
    <t>The Global Conference &amp; Expo for the Commercial Space Industry</t>
    <phoneticPr fontId="3" type="noConversion"/>
  </si>
  <si>
    <t>https://www.spacecomexpo.com/</t>
    <phoneticPr fontId="3" type="noConversion"/>
  </si>
  <si>
    <t>https://www.nato.int/en/news-and-events/articles/news/2025/08/20/turkiye-to-host-2026-nato-summit-in-ankara</t>
    <phoneticPr fontId="3" type="noConversion"/>
  </si>
  <si>
    <t>https://annualconference.eda.europa.eu/</t>
    <phoneticPr fontId="3" type="noConversion"/>
  </si>
  <si>
    <t>유럽 방위 준비 태세 2030 달성 논의</t>
    <phoneticPr fontId="3" type="noConversion"/>
  </si>
  <si>
    <t>6월중</t>
    <phoneticPr fontId="3" type="noConversion"/>
  </si>
  <si>
    <t>누리호 5차 발사, 중국 유니트리 상장</t>
    <phoneticPr fontId="3" type="noConversion"/>
  </si>
  <si>
    <t>6월 말</t>
    <phoneticPr fontId="3" type="noConversion"/>
  </si>
  <si>
    <t>MCSI 선진국 관찰대상국 여부 발표</t>
    <phoneticPr fontId="3" type="noConversion"/>
  </si>
  <si>
    <t>3월 5일</t>
    <phoneticPr fontId="3" type="noConversion"/>
  </si>
  <si>
    <t>3월 16일~19일</t>
    <phoneticPr fontId="3" type="noConversion"/>
  </si>
  <si>
    <t>엔비디아 GTC 2026</t>
    <phoneticPr fontId="3" type="noConversion"/>
  </si>
  <si>
    <t>알테오젠 코스피 이전상장, 스테이블코인 법안 통과, 나사 아르테미스 2호 발사</t>
    <phoneticPr fontId="3" type="noConversion"/>
  </si>
  <si>
    <t>뱅크오브아메리카, 웰스파고, 씨티그룹, TSMC</t>
    <phoneticPr fontId="3" type="noConversion"/>
  </si>
  <si>
    <t>트럼프 대법원 관세판결</t>
    <phoneticPr fontId="3" type="noConversion"/>
  </si>
  <si>
    <t>3차 상법 개정</t>
    <phoneticPr fontId="3" type="noConversion"/>
  </si>
  <si>
    <t>삼성에스디에스 오후 2시</t>
    <phoneticPr fontId="3" type="noConversion"/>
  </si>
  <si>
    <t>LG씨엔에스 오전 10시 30분</t>
    <phoneticPr fontId="3" type="noConversion"/>
  </si>
  <si>
    <t>2월 2일</t>
    <phoneticPr fontId="3" type="noConversion"/>
  </si>
  <si>
    <t>삼성SDI 오후 2시</t>
    <phoneticPr fontId="3" type="noConversion"/>
  </si>
  <si>
    <t>2월 4일</t>
    <phoneticPr fontId="3" type="noConversion"/>
  </si>
  <si>
    <t>ISC 오전 10시
씨어스테크놀로지 오후 2시 IR</t>
    <phoneticPr fontId="3" type="noConversion"/>
  </si>
  <si>
    <t>실적발표/IR</t>
    <phoneticPr fontId="3" type="noConversion"/>
  </si>
  <si>
    <t>2월 5일</t>
    <phoneticPr fontId="3" type="noConversion"/>
  </si>
  <si>
    <t>에코프로비엠 오후 2시
한화솔루션 오후 2시 IR
에코프로머티, 에코프로에이치엔, 에코프로 오후 3시 30분</t>
    <phoneticPr fontId="3" type="noConversion"/>
  </si>
  <si>
    <t>인텔, GE, 프리포트맥모란, 알코아</t>
    <phoneticPr fontId="3" type="noConversion"/>
  </si>
  <si>
    <t>RTX, NOC, 시게이트</t>
    <phoneticPr fontId="3" type="noConversion"/>
  </si>
  <si>
    <t>삼성전기 오후 1시 30분
삼성 E&amp;A 오후 2시</t>
    <phoneticPr fontId="3" type="noConversion"/>
  </si>
  <si>
    <t>기아
현대모비스 오전 10시 10분</t>
    <phoneticPr fontId="3" type="noConversion"/>
  </si>
  <si>
    <t xml:space="preserve">SK하이닉스 오전 9시 
삼성전자 오전 10시
포스코인터내셔널 오전 9시
LG 에너지솔루션 오전 10시
포스코퓨처엠 오후 1시 30분
포스코DX 오후 2시
현대차 오후 2시 10분
POSCO홀딩스 오후 3시
LG화학 오후 4시 </t>
    <phoneticPr fontId="3" type="noConversion"/>
  </si>
  <si>
    <t>현대제철 오후 2시,
현대오토에버 오후 2시
하나금융지주 오후 3시
삼성중공업 오후 4시</t>
    <phoneticPr fontId="3" type="noConversion"/>
  </si>
  <si>
    <t>엑손모빌, 쉐브론</t>
    <phoneticPr fontId="3" type="noConversion"/>
  </si>
  <si>
    <t>애플, 캐터필러, 서던코퍼, 록히드마틴</t>
    <phoneticPr fontId="3" type="noConversion"/>
  </si>
  <si>
    <t>임시예산안 마지막일</t>
    <phoneticPr fontId="3" type="noConversion"/>
  </si>
  <si>
    <t>마이크로소프트, 메타, 테슬라, ASML, 램리서치, 암페놀, GE버노바, 코닝</t>
    <phoneticPr fontId="3" type="noConversion"/>
  </si>
  <si>
    <t>2월 3일</t>
    <phoneticPr fontId="3" type="noConversion"/>
  </si>
  <si>
    <t>팔란티어, 디즈니, 테라다인, FN</t>
    <phoneticPr fontId="3" type="noConversion"/>
  </si>
  <si>
    <t>AMD, 머크, 암젠, 화이자, 이튼</t>
    <phoneticPr fontId="3" type="noConversion"/>
  </si>
  <si>
    <t>구글, 릴리, 에브비, 노바티스, 노보노디스크</t>
    <phoneticPr fontId="3" type="noConversion"/>
  </si>
  <si>
    <t>2월 11일</t>
    <phoneticPr fontId="3" type="noConversion"/>
  </si>
  <si>
    <t>2월 13일</t>
    <phoneticPr fontId="3" type="noConversion"/>
  </si>
  <si>
    <t>물가지표</t>
    <phoneticPr fontId="3" type="noConversion"/>
  </si>
  <si>
    <t>아스트라제네카, 길리어드, 듀폰</t>
    <phoneticPr fontId="3" type="noConversion"/>
  </si>
  <si>
    <t>2월 12일</t>
    <phoneticPr fontId="3" type="noConversion"/>
  </si>
  <si>
    <t xml:space="preserve">시스코, 티모바일, 앱러빈, </t>
    <phoneticPr fontId="3" type="noConversion"/>
  </si>
  <si>
    <t>어플라이드머티리얼즈, 아리스타네트웍스, HWM, 코후</t>
    <phoneticPr fontId="3" type="noConversion"/>
  </si>
  <si>
    <t>풍산 오후 2시
휴젤 오후 3시
두산로보틱스 오후 4시
메리츠금융지주 오후 4시
현대백화점 오후 4시</t>
    <phoneticPr fontId="3" type="noConversion"/>
  </si>
  <si>
    <t>NHN 오전 9시
카카오 오전 9시
HD현대 오후 3시
두산에어빌리티 오후 3시 45분
하이브 오후 5시</t>
    <phoneticPr fontId="3" type="noConversion"/>
  </si>
  <si>
    <t xml:space="preserve">두산밥캣 오전 10시 </t>
    <phoneticPr fontId="3" type="noConversion"/>
  </si>
  <si>
    <t>3월 6일</t>
    <phoneticPr fontId="3" type="noConversion"/>
  </si>
  <si>
    <t>2월 24일</t>
    <phoneticPr fontId="3" type="noConversion"/>
  </si>
  <si>
    <t>키사이트테크놀로지, bwxt</t>
    <phoneticPr fontId="3" type="noConversion"/>
  </si>
  <si>
    <t>2월 25일</t>
    <phoneticPr fontId="3" type="noConversion"/>
  </si>
  <si>
    <t>홈디포, CEG, 퍼스트솔라</t>
    <phoneticPr fontId="3" type="noConversion"/>
  </si>
  <si>
    <t>2월 26일</t>
    <phoneticPr fontId="3" type="noConversion"/>
  </si>
  <si>
    <t xml:space="preserve">엔비디아, 시놉시스, STRL, </t>
    <phoneticPr fontId="3" type="noConversion"/>
  </si>
  <si>
    <t>3월 3일 ~ 5일</t>
    <phoneticPr fontId="3" type="noConversion"/>
  </si>
  <si>
    <t>MWC 2026_모바일전시회</t>
    <phoneticPr fontId="3" type="noConversion"/>
  </si>
  <si>
    <t>케이뱅크 상장</t>
    <phoneticPr fontId="3" type="noConversion"/>
  </si>
  <si>
    <t>3월 10일</t>
    <phoneticPr fontId="3" type="noConversion"/>
  </si>
  <si>
    <t>노란봉투법 시행</t>
    <phoneticPr fontId="3" type="noConversion"/>
  </si>
  <si>
    <t>코오롱인더 실적발표 오후 4시</t>
    <phoneticPr fontId="3" type="noConversion"/>
  </si>
  <si>
    <t>MSCI 리밸런싱</t>
    <phoneticPr fontId="3" type="noConversion"/>
  </si>
  <si>
    <t xml:space="preserve">삼성전자 갤럭시 S26 공개 </t>
    <phoneticPr fontId="3" type="noConversion"/>
  </si>
  <si>
    <t>한국콜마 오후 2시 실적발표
원익IPS 실적발표</t>
    <phoneticPr fontId="3" type="noConversion"/>
  </si>
  <si>
    <t>인바디
실리콘투 오후 3시</t>
    <phoneticPr fontId="3" type="noConversion"/>
  </si>
  <si>
    <t xml:space="preserve">타임폴리오 와 코엑트 코스닥 액티브 ETF 시행 </t>
    <phoneticPr fontId="3" type="noConversion"/>
  </si>
  <si>
    <t>3월 19일</t>
    <phoneticPr fontId="3" type="noConversion"/>
  </si>
  <si>
    <t>삼성전자 밸류업</t>
    <phoneticPr fontId="3" type="noConversion"/>
  </si>
  <si>
    <t>마이크론 실적발표</t>
    <phoneticPr fontId="3" type="noConversion"/>
  </si>
  <si>
    <t xml:space="preserve">8월 30일 </t>
    <phoneticPr fontId="3" type="noConversion"/>
  </si>
  <si>
    <t>큐리언트 ClinicalTrials.gov(NCT05394103)에 따르면, Q901의 임상 1/2상 전체 연구 완료 예정일</t>
    <phoneticPr fontId="5" type="noConversion"/>
  </si>
  <si>
    <t>12월</t>
    <phoneticPr fontId="3" type="noConversion"/>
  </si>
  <si>
    <t>오름테라퓨틱은 ORM-6151 (BMS 기술 수출 건) 2026년 12월 미국혈액학회(ASH) 여기서 BMS가 진행한 임상 1상의 초기 데이터나 진행 현황이 공개될 가능성</t>
    <phoneticPr fontId="3" type="noConversion"/>
  </si>
  <si>
    <t>하반기</t>
    <phoneticPr fontId="3" type="noConversion"/>
  </si>
  <si>
    <t xml:space="preserve">지투지바이오 GB-7001(1개월 지속형 비만약) 하반기 임상 데이터 나오지 않을까 추정 </t>
    <phoneticPr fontId="3" type="noConversion"/>
  </si>
  <si>
    <t>7월</t>
    <phoneticPr fontId="3" type="noConversion"/>
  </si>
  <si>
    <t xml:space="preserve">코오롱티슈진 TG-C(무릎 골관절염 치료제, 구 인보사) 임상 3상 발표 예정 </t>
    <phoneticPr fontId="3" type="noConversion"/>
  </si>
  <si>
    <t>9월 11일 ~9월 15일</t>
    <phoneticPr fontId="3" type="noConversion"/>
  </si>
  <si>
    <t>유럽종양학회(ESMO 2026)
앱클론의 AC101(HLX22) 파트너사인 헨리우스(Henlius)는 2026년 1월 기준으로 위암 글로벌 임상 3상의 환자 모집을 40% 이상 완료, **9월 ESMO 시점에는 임상 3상의 초기 안전성 및 유효성 데이터(중간 결과)**를 요약하여 발표할 가능성 있음</t>
    <phoneticPr fontId="5" type="noConversion"/>
  </si>
  <si>
    <t>보스턴다이내믹스 상장주관사 선정 및 예비심사 청구 추정
현대차와 소프트뱅크 간의 계약에 따라 2026년 6월까지 상장이 이루어지지 않을 경우 소프트뱅크가 잔여 지분을 현대차에 팔 수 있는 풋옵션 기한이 도래, 따라서 **3~4월 중에 현대차가 이 지분을 어떻게 처리하느냐(직접 매수 또는 상장 가속화)**에 대한 공식/비공식적 입장이 나올 가능성 있음</t>
    <phoneticPr fontId="3" type="noConversion"/>
  </si>
  <si>
    <t>4월 중순</t>
    <phoneticPr fontId="3" type="noConversion"/>
  </si>
  <si>
    <t>휴머노이드 로봇법, 중국, 러시아 등 적대국 로봇의 연방 정부 조달을 금지 추정
그리고 미국산 로봇 보조금 혜택 같은게 나올 수도 있음</t>
    <phoneticPr fontId="3" type="noConversion"/>
  </si>
  <si>
    <t>4월 초</t>
    <phoneticPr fontId="3" type="noConversion"/>
  </si>
  <si>
    <t>NRC는 신규 원전 허가 결정 기간을 기존 수년에서 18개월 이내로 단축하는 새로운 규칙안(Proposed Rule)을 4월 중 공식 발표할 예정</t>
    <phoneticPr fontId="3" type="noConversion"/>
  </si>
  <si>
    <t>Gen III+ SMR 지원금(9억 달러) 최종 사업자 확정 가이드라인</t>
    <phoneticPr fontId="3" type="noConversion"/>
  </si>
  <si>
    <t>3월 18일</t>
    <phoneticPr fontId="3" type="noConversion"/>
  </si>
  <si>
    <t>AMD 리사수 방한</t>
    <phoneticPr fontId="3" type="noConversion"/>
  </si>
  <si>
    <t>미국 통신 주파수 경매 = 국내 통신장비주 발주 가능성</t>
    <phoneticPr fontId="3" type="noConversion"/>
  </si>
  <si>
    <t>4Q25</t>
    <phoneticPr fontId="5" type="noConversion"/>
  </si>
  <si>
    <t>에치에프알</t>
    <phoneticPr fontId="3" type="noConversion"/>
  </si>
  <si>
    <t>기재하지 않음</t>
    <phoneticPr fontId="3" type="noConversion"/>
  </si>
  <si>
    <t>라온로보틱스</t>
    <phoneticPr fontId="3" type="noConversion"/>
  </si>
  <si>
    <t>억원</t>
    <phoneticPr fontId="3" type="noConversion"/>
  </si>
  <si>
    <t>5월?</t>
    <phoneticPr fontId="3" type="noConversion"/>
  </si>
  <si>
    <t>투자경고 지정예고</t>
  </si>
  <si>
    <t> 큐리언트</t>
  </si>
  <si>
    <t> 테스 </t>
  </si>
  <si>
    <t> 퍼스텍</t>
  </si>
  <si>
    <t>유형</t>
  </si>
  <si>
    <t>공시일</t>
  </si>
  <si>
    <t>지정일</t>
  </si>
  <si>
    <t> 미코 </t>
  </si>
  <si>
    <t> 에이프릴바이오</t>
  </si>
  <si>
    <t>판단 마지막날</t>
    <phoneticPr fontId="3" type="noConversion"/>
  </si>
  <si>
    <t> 머큐리</t>
  </si>
  <si>
    <t> 대한광통신</t>
  </si>
  <si>
    <t> 피노</t>
  </si>
  <si>
    <t> 오이솔루션</t>
  </si>
  <si>
    <t>최초 해제 판단일</t>
    <phoneticPr fontId="3" type="noConversion"/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</si>
  <si>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20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</si>
  <si>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24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</si>
  <si>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t>04월 27일</t>
    <phoneticPr fontId="3" type="noConversion"/>
  </si>
  <si>
    <t> 파두</t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</si>
  <si>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29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</si>
  <si>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t> 티엘비</t>
  </si>
  <si>
    <t> 피에스케이  </t>
  </si>
  <si>
    <t> 오킨스전자</t>
  </si>
  <si>
    <t>04월 30일</t>
    <phoneticPr fontId="3" type="noConversion"/>
  </si>
  <si>
    <t>05월 04일</t>
    <phoneticPr fontId="3" type="noConversion"/>
  </si>
  <si>
    <t>종목명</t>
    <phoneticPr fontId="3" type="noConversion"/>
  </si>
  <si>
    <t>투자경고종목</t>
    <phoneticPr fontId="3" type="noConversion"/>
  </si>
  <si>
    <t>투경지정예고</t>
    <phoneticPr fontId="3" type="noConversion"/>
  </si>
  <si>
    <t> 미래에셋벤처투자</t>
  </si>
  <si>
    <t> 삼아알미늄</t>
  </si>
  <si>
    <t> 저스템</t>
  </si>
  <si>
    <t> 주성엔지니어링   </t>
  </si>
  <si>
    <t> 비츠로셀</t>
  </si>
  <si>
    <t> 원익IPS  </t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</si>
  <si>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08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</si>
  <si>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07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</si>
  <si>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t>6월 2일</t>
    <phoneticPr fontId="3" type="noConversion"/>
  </si>
  <si>
    <t>6월 2일~6일</t>
    <phoneticPr fontId="3" type="noConversion"/>
  </si>
  <si>
    <t>컴퓨텍스 2026 대만</t>
    <phoneticPr fontId="3" type="noConversion"/>
  </si>
  <si>
    <t>6월 3일</t>
    <phoneticPr fontId="3" type="noConversion"/>
  </si>
  <si>
    <t>한국 지방선거</t>
    <phoneticPr fontId="3" type="noConversion"/>
  </si>
  <si>
    <t>6월 8일~12일</t>
    <phoneticPr fontId="3" type="noConversion"/>
  </si>
  <si>
    <t>애플 WWDC 2026</t>
    <phoneticPr fontId="3" type="noConversion"/>
  </si>
  <si>
    <t>6월 15~17일</t>
    <phoneticPr fontId="3" type="noConversion"/>
  </si>
  <si>
    <t>G7 정상회담</t>
    <phoneticPr fontId="3" type="noConversion"/>
  </si>
  <si>
    <t>일본 금리결정</t>
    <phoneticPr fontId="3" type="noConversion"/>
  </si>
  <si>
    <t>6월 18일</t>
    <phoneticPr fontId="3" type="noConversion"/>
  </si>
  <si>
    <t>미국 FOMC 금리결정</t>
    <phoneticPr fontId="3" type="noConversion"/>
  </si>
  <si>
    <t> LS에코에너지 </t>
  </si>
  <si>
    <t> 대원전선</t>
  </si>
  <si>
    <t> 레이</t>
  </si>
  <si>
    <t>투자경고 지정해제</t>
  </si>
  <si>
    <t> 메가터치</t>
  </si>
  <si>
    <t>소수계좌 매수관여 과다</t>
  </si>
  <si>
    <t> 브이엠</t>
  </si>
  <si>
    <t> 비나텍</t>
  </si>
  <si>
    <t> 삼성전기우   </t>
  </si>
  <si>
    <t> 서울바이오시스 </t>
  </si>
  <si>
    <t> 아모그린텍</t>
  </si>
  <si>
    <t> 알엔티엑스</t>
  </si>
  <si>
    <t> 에이프로</t>
  </si>
  <si>
    <t> 웨이브일렉트로</t>
  </si>
  <si>
    <t> 주성코퍼레이션</t>
  </si>
  <si>
    <t> 카티스</t>
  </si>
  <si>
    <t> 두산테스나 </t>
  </si>
  <si>
    <t> 대덕전자 </t>
  </si>
  <si>
    <t> 대우건설  </t>
  </si>
  <si>
    <t> 이오테크닉스  </t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</si>
  <si>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11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</si>
  <si>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12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</si>
  <si>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14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</si>
  <si>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15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</si>
  <si>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t> 드림시큐리티</t>
  </si>
  <si>
    <t> 루멘스</t>
  </si>
  <si>
    <t> 네패스</t>
  </si>
  <si>
    <t> 엘티씨</t>
  </si>
  <si>
    <t> 오르비텍</t>
  </si>
  <si>
    <t> 한빛레이저</t>
  </si>
  <si>
    <t> KBI메탈</t>
  </si>
  <si>
    <t> 오름테라퓨틱</t>
  </si>
  <si>
    <t> 라이콤</t>
  </si>
  <si>
    <t> 우리로</t>
  </si>
  <si>
    <t>제주반도체</t>
    <phoneticPr fontId="3" type="noConversion"/>
  </si>
  <si>
    <t>(단위 : US$1,000)</t>
    <phoneticPr fontId="3" type="noConversion"/>
  </si>
  <si>
    <t>1Q26</t>
  </si>
  <si>
    <t>1Q26</t>
    <phoneticPr fontId="5" type="noConversion"/>
  </si>
  <si>
    <t>-</t>
    <phoneticPr fontId="3" type="noConversion"/>
  </si>
  <si>
    <t>LIG디펜스앤에어로스페이스</t>
    <phoneticPr fontId="3" type="noConversion"/>
  </si>
  <si>
    <t>대한전선</t>
  </si>
  <si>
    <t>산일전기</t>
  </si>
  <si>
    <t>한화엔진</t>
  </si>
  <si>
    <t>STX엔진</t>
  </si>
  <si>
    <t>HD현대마린엔진</t>
  </si>
  <si>
    <t>디아이</t>
  </si>
  <si>
    <t>에이치브이엠</t>
  </si>
  <si>
    <t>HD한국조선해양</t>
  </si>
  <si>
    <t>6월 12일</t>
    <phoneticPr fontId="3" type="noConversion"/>
  </si>
  <si>
    <t>스페이스 x 상장</t>
    <phoneticPr fontId="3" type="noConversion"/>
  </si>
  <si>
    <t>HEP, CRDO 실적발표</t>
    <phoneticPr fontId="3" type="noConversion"/>
  </si>
  <si>
    <t>팔로알토, 울타뷰티 실적발표</t>
    <phoneticPr fontId="3" type="noConversion"/>
  </si>
  <si>
    <t>6월 4일</t>
    <phoneticPr fontId="3" type="noConversion"/>
  </si>
  <si>
    <t>브로드컴, CRWD</t>
    <phoneticPr fontId="3" type="noConversion"/>
  </si>
  <si>
    <t>시에나, 플래닛랩스 실적발표</t>
    <phoneticPr fontId="3" type="noConversion"/>
  </si>
  <si>
    <t>6월 17일</t>
    <phoneticPr fontId="3" type="noConversion"/>
  </si>
  <si>
    <t>오라클 실적 발표</t>
    <phoneticPr fontId="3" type="noConversion"/>
  </si>
  <si>
    <t>6월 25일</t>
    <phoneticPr fontId="3" type="noConversion"/>
  </si>
  <si>
    <t>제주반도체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</si>
</sst>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0.0"/>
    <numFmt numFmtId="178" formatCode="0.000%"/>
    <numFmt numFmtId="179" formatCode="_-* #,##0.0_-;\-* #,##0.0_-;_-* &quot;-&quot;_-;_-@_-"/>
  </numFmts>
  <fonts count="5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Arial"/>
      <family val="2"/>
    </font>
    <font>
      <sz val="8"/>
      <name val="맑은 고딕"/>
      <family val="2"/>
      <charset val="129"/>
      <scheme val="minor"/>
    </font>
    <font>
      <sz val="8"/>
      <name val="Arial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7"/>
      <color rgb="FF363636"/>
      <name val="Verdana"/>
      <family val="2"/>
    </font>
    <font>
      <sz val="9"/>
      <color theme="1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0"/>
      <color rgb="FF3D3D3D"/>
      <name val="돋움체"/>
      <family val="3"/>
      <charset val="129"/>
    </font>
    <font>
      <u/>
      <sz val="11"/>
      <color rgb="FF0563C1"/>
      <name val="맑은 고딕"/>
      <family val="3"/>
      <charset val="129"/>
    </font>
    <font>
      <u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sz val="11"/>
      <color rgb="FFFFFFFF"/>
      <name val="Arial"/>
      <family val="2"/>
    </font>
    <font>
      <sz val="10"/>
      <name val="돋움"/>
      <family val="3"/>
      <charset val="129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11"/>
      <color rgb="FF182026"/>
      <name val="Arial"/>
      <family val="2"/>
    </font>
    <font>
      <b/>
      <sz val="11"/>
      <color rgb="FF182026"/>
      <name val="Arial"/>
      <family val="2"/>
    </font>
    <font>
      <sz val="8"/>
      <name val="Verdana"/>
      <family val="2"/>
    </font>
    <font>
      <b/>
      <i/>
      <sz val="11"/>
      <color rgb="FFFFFFFF"/>
      <name val="Arial"/>
      <family val="2"/>
    </font>
    <font>
      <b/>
      <i/>
      <sz val="11"/>
      <color rgb="FF182026"/>
      <name val="Arial"/>
      <family val="2"/>
    </font>
    <font>
      <b/>
      <i/>
      <sz val="9"/>
      <color rgb="FF494444"/>
      <name val="Arial"/>
      <family val="2"/>
    </font>
    <font>
      <b/>
      <sz val="9"/>
      <color rgb="FF494444"/>
      <name val="Arial"/>
      <family val="2"/>
    </font>
    <font>
      <sz val="9"/>
      <color rgb="FF494444"/>
      <name val="Arial"/>
      <family val="2"/>
    </font>
    <font>
      <b/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b/>
      <sz val="11"/>
      <color rgb="FFFFFFFF"/>
      <name val="Arial"/>
      <family val="2"/>
    </font>
    <font>
      <sz val="13"/>
      <color rgb="FF182026"/>
      <name val="Times New Roman"/>
      <family val="1"/>
    </font>
    <font>
      <sz val="9"/>
      <color rgb="FF182026"/>
      <name val="Arial"/>
      <family val="2"/>
    </font>
    <font>
      <b/>
      <sz val="10"/>
      <color rgb="FFC0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FFFFFF"/>
      <name val="맑은 고딕"/>
      <family val="2"/>
      <charset val="129"/>
    </font>
    <font>
      <sz val="8"/>
      <color rgb="FFFFFFFF"/>
      <name val="맑은 고딕"/>
      <family val="3"/>
      <charset val="129"/>
    </font>
    <font>
      <sz val="8"/>
      <color rgb="FF000000"/>
      <name val="맑은 고딕"/>
      <family val="2"/>
      <charset val="129"/>
    </font>
    <font>
      <sz val="8"/>
      <color rgb="FF000000"/>
      <name val="맑은 고딕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0549AB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E2F2FB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4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AF1F5"/>
        <bgColor indexed="64"/>
      </patternFill>
    </fill>
    <fill>
      <patternFill patternType="solid">
        <fgColor rgb="FF18ACF8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 style="thin">
        <color rgb="FF9E9E9E"/>
      </right>
      <top/>
      <bottom/>
      <diagonal/>
    </border>
    <border>
      <left/>
      <right/>
      <top style="thin">
        <color rgb="FF9E9E9E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CECECE"/>
      </top>
      <bottom/>
      <diagonal/>
    </border>
    <border>
      <left/>
      <right/>
      <top/>
      <bottom style="medium">
        <color rgb="FF27BBD6"/>
      </bottom>
      <diagonal/>
    </border>
  </borders>
  <cellStyleXfs count="1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1" fontId="6" fillId="0" borderId="0">
      <alignment vertical="center"/>
    </xf>
    <xf numFmtId="9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4" fillId="0" borderId="0"/>
  </cellStyleXfs>
  <cellXfs count="211">
    <xf numFmtId="0" fontId="0" fillId="0" borderId="0" xfId="0">
      <alignment vertical="center"/>
    </xf>
    <xf numFmtId="0" fontId="7" fillId="0" borderId="0" xfId="6" applyFont="1">
      <alignment vertical="center"/>
    </xf>
    <xf numFmtId="0" fontId="8" fillId="0" borderId="0" xfId="6" applyFont="1">
      <alignment vertical="center"/>
    </xf>
    <xf numFmtId="0" fontId="9" fillId="0" borderId="1" xfId="6" applyFont="1" applyBorder="1" applyAlignment="1">
      <alignment horizontal="center" vertical="center"/>
    </xf>
    <xf numFmtId="0" fontId="8" fillId="0" borderId="1" xfId="6" applyFont="1" applyBorder="1" applyAlignment="1">
      <alignment horizontal="center" vertical="center"/>
    </xf>
    <xf numFmtId="0" fontId="8" fillId="0" borderId="1" xfId="6" applyFont="1" applyBorder="1" applyAlignment="1">
      <alignment horizontal="left" vertical="center"/>
    </xf>
    <xf numFmtId="0" fontId="8" fillId="0" borderId="1" xfId="6" applyFont="1" applyBorder="1" applyAlignment="1">
      <alignment horizontal="left" vertical="center" wrapText="1"/>
    </xf>
    <xf numFmtId="0" fontId="6" fillId="0" borderId="0" xfId="6">
      <alignment vertical="center"/>
    </xf>
    <xf numFmtId="0" fontId="10" fillId="0" borderId="0" xfId="7">
      <alignment vertical="center"/>
    </xf>
    <xf numFmtId="0" fontId="11" fillId="0" borderId="0" xfId="8" applyFont="1">
      <alignment vertical="center"/>
    </xf>
    <xf numFmtId="0" fontId="11" fillId="0" borderId="0" xfId="8" applyFont="1" applyAlignment="1">
      <alignment horizontal="center" vertical="center"/>
    </xf>
    <xf numFmtId="0" fontId="13" fillId="0" borderId="0" xfId="8" applyFont="1">
      <alignment vertical="center"/>
    </xf>
    <xf numFmtId="0" fontId="11" fillId="0" borderId="1" xfId="8" applyFont="1" applyBorder="1">
      <alignment vertical="center"/>
    </xf>
    <xf numFmtId="0" fontId="11" fillId="0" borderId="1" xfId="8" applyFont="1" applyBorder="1" applyAlignment="1">
      <alignment horizontal="center" vertical="center"/>
    </xf>
    <xf numFmtId="41" fontId="11" fillId="0" borderId="1" xfId="9" applyFont="1" applyBorder="1">
      <alignment vertical="center"/>
    </xf>
    <xf numFmtId="3" fontId="14" fillId="0" borderId="0" xfId="8" applyNumberFormat="1" applyFont="1">
      <alignment vertical="center"/>
    </xf>
    <xf numFmtId="41" fontId="11" fillId="0" borderId="0" xfId="9" applyFont="1">
      <alignment vertical="center"/>
    </xf>
    <xf numFmtId="0" fontId="12" fillId="0" borderId="0" xfId="8" applyFont="1">
      <alignment vertical="center"/>
    </xf>
    <xf numFmtId="3" fontId="11" fillId="0" borderId="1" xfId="8" applyNumberFormat="1" applyFont="1" applyBorder="1">
      <alignment vertical="center"/>
    </xf>
    <xf numFmtId="9" fontId="11" fillId="0" borderId="0" xfId="10" applyFont="1">
      <alignment vertical="center"/>
    </xf>
    <xf numFmtId="41" fontId="11" fillId="0" borderId="1" xfId="9" applyFont="1" applyBorder="1" applyAlignment="1">
      <alignment vertical="center" wrapText="1"/>
    </xf>
    <xf numFmtId="0" fontId="11" fillId="0" borderId="1" xfId="8" applyFont="1" applyBorder="1" applyAlignment="1">
      <alignment horizontal="left" vertical="center"/>
    </xf>
    <xf numFmtId="41" fontId="11" fillId="0" borderId="1" xfId="9" applyFont="1" applyBorder="1" applyAlignment="1">
      <alignment horizontal="right" vertical="center"/>
    </xf>
    <xf numFmtId="3" fontId="11" fillId="0" borderId="1" xfId="8" applyNumberFormat="1" applyFont="1" applyBorder="1" applyAlignment="1">
      <alignment vertical="center" wrapText="1"/>
    </xf>
    <xf numFmtId="43" fontId="11" fillId="0" borderId="0" xfId="8" applyNumberFormat="1" applyFont="1">
      <alignment vertical="center"/>
    </xf>
    <xf numFmtId="0" fontId="6" fillId="0" borderId="0" xfId="6" applyAlignment="1">
      <alignment horizontal="center" vertical="center"/>
    </xf>
    <xf numFmtId="0" fontId="6" fillId="0" borderId="1" xfId="6" applyBorder="1">
      <alignment vertical="center"/>
    </xf>
    <xf numFmtId="0" fontId="6" fillId="0" borderId="1" xfId="6" applyBorder="1" applyAlignment="1">
      <alignment horizontal="left" vertical="center"/>
    </xf>
    <xf numFmtId="0" fontId="10" fillId="0" borderId="1" xfId="12" applyBorder="1">
      <alignment vertical="center"/>
    </xf>
    <xf numFmtId="0" fontId="10" fillId="0" borderId="0" xfId="12">
      <alignment vertical="center"/>
    </xf>
    <xf numFmtId="0" fontId="6" fillId="0" borderId="2" xfId="6" applyBorder="1">
      <alignment vertical="center"/>
    </xf>
    <xf numFmtId="0" fontId="6" fillId="0" borderId="3" xfId="6" applyBorder="1" applyAlignment="1">
      <alignment horizontal="left" vertical="center"/>
    </xf>
    <xf numFmtId="0" fontId="6" fillId="0" borderId="4" xfId="6" applyBorder="1">
      <alignment vertical="center"/>
    </xf>
    <xf numFmtId="0" fontId="6" fillId="0" borderId="1" xfId="6" quotePrefix="1" applyBorder="1" applyAlignment="1">
      <alignment horizontal="left" vertical="center"/>
    </xf>
    <xf numFmtId="0" fontId="10" fillId="0" borderId="1" xfId="7" applyBorder="1">
      <alignment vertical="center"/>
    </xf>
    <xf numFmtId="0" fontId="11" fillId="0" borderId="0" xfId="13" applyFont="1" applyAlignment="1">
      <alignment horizontal="center" vertical="center"/>
    </xf>
    <xf numFmtId="0" fontId="11" fillId="0" borderId="0" xfId="13" applyFont="1">
      <alignment vertical="center"/>
    </xf>
    <xf numFmtId="0" fontId="11" fillId="0" borderId="1" xfId="13" applyFont="1" applyBorder="1" applyAlignment="1">
      <alignment horizontal="center" vertical="center"/>
    </xf>
    <xf numFmtId="0" fontId="11" fillId="0" borderId="1" xfId="13" applyFont="1" applyBorder="1" applyAlignment="1">
      <alignment horizontal="left" vertical="center"/>
    </xf>
    <xf numFmtId="0" fontId="11" fillId="0" borderId="1" xfId="13" applyFont="1" applyBorder="1">
      <alignment vertical="center"/>
    </xf>
    <xf numFmtId="0" fontId="11" fillId="0" borderId="1" xfId="13" applyFont="1" applyBorder="1" applyAlignment="1">
      <alignment vertical="center" wrapText="1"/>
    </xf>
    <xf numFmtId="3" fontId="11" fillId="0" borderId="1" xfId="13" applyNumberFormat="1" applyFont="1" applyBorder="1" applyAlignment="1">
      <alignment horizontal="right" vertical="center"/>
    </xf>
    <xf numFmtId="0" fontId="11" fillId="0" borderId="1" xfId="13" applyFont="1" applyBorder="1" applyAlignment="1">
      <alignment horizontal="right" vertical="center"/>
    </xf>
    <xf numFmtId="14" fontId="11" fillId="0" borderId="1" xfId="13" applyNumberFormat="1" applyFont="1" applyBorder="1">
      <alignment vertical="center"/>
    </xf>
    <xf numFmtId="14" fontId="11" fillId="0" borderId="1" xfId="13" applyNumberFormat="1" applyFont="1" applyBorder="1" applyAlignment="1">
      <alignment vertical="center" wrapText="1"/>
    </xf>
    <xf numFmtId="3" fontId="11" fillId="0" borderId="1" xfId="13" applyNumberFormat="1" applyFont="1" applyBorder="1" applyAlignment="1">
      <alignment horizontal="right" vertical="center" wrapText="1"/>
    </xf>
    <xf numFmtId="3" fontId="20" fillId="0" borderId="1" xfId="13" applyNumberFormat="1" applyFont="1" applyBorder="1">
      <alignment vertical="center"/>
    </xf>
    <xf numFmtId="0" fontId="11" fillId="2" borderId="1" xfId="13" applyFont="1" applyFill="1" applyBorder="1" applyAlignment="1">
      <alignment horizontal="left" vertical="center"/>
    </xf>
    <xf numFmtId="0" fontId="11" fillId="2" borderId="1" xfId="13" applyFont="1" applyFill="1" applyBorder="1" applyAlignment="1">
      <alignment horizontal="center" vertical="center"/>
    </xf>
    <xf numFmtId="0" fontId="11" fillId="2" borderId="1" xfId="13" applyFont="1" applyFill="1" applyBorder="1" applyAlignment="1">
      <alignment vertical="center" wrapText="1"/>
    </xf>
    <xf numFmtId="0" fontId="11" fillId="2" borderId="1" xfId="13" applyFont="1" applyFill="1" applyBorder="1">
      <alignment vertical="center"/>
    </xf>
    <xf numFmtId="3" fontId="11" fillId="2" borderId="1" xfId="13" applyNumberFormat="1" applyFont="1" applyFill="1" applyBorder="1" applyAlignment="1">
      <alignment horizontal="right" vertical="center"/>
    </xf>
    <xf numFmtId="0" fontId="11" fillId="2" borderId="1" xfId="13" applyFont="1" applyFill="1" applyBorder="1" applyAlignment="1">
      <alignment horizontal="right" vertical="center"/>
    </xf>
    <xf numFmtId="14" fontId="11" fillId="2" borderId="1" xfId="13" applyNumberFormat="1" applyFont="1" applyFill="1" applyBorder="1">
      <alignment vertical="center"/>
    </xf>
    <xf numFmtId="14" fontId="11" fillId="2" borderId="1" xfId="13" applyNumberFormat="1" applyFont="1" applyFill="1" applyBorder="1" applyAlignment="1">
      <alignment vertical="center" wrapText="1"/>
    </xf>
    <xf numFmtId="0" fontId="11" fillId="0" borderId="1" xfId="13" quotePrefix="1" applyFont="1" applyBorder="1" applyAlignment="1">
      <alignment vertical="center" wrapText="1"/>
    </xf>
    <xf numFmtId="0" fontId="8" fillId="0" borderId="1" xfId="13" applyFont="1" applyBorder="1">
      <alignment vertical="center"/>
    </xf>
    <xf numFmtId="0" fontId="21" fillId="0" borderId="1" xfId="14" applyBorder="1" applyAlignment="1">
      <alignment horizontal="left" vertical="center"/>
    </xf>
    <xf numFmtId="0" fontId="11" fillId="4" borderId="1" xfId="13" applyFont="1" applyFill="1" applyBorder="1" applyAlignment="1">
      <alignment horizontal="left" vertical="center"/>
    </xf>
    <xf numFmtId="0" fontId="11" fillId="4" borderId="1" xfId="13" applyFont="1" applyFill="1" applyBorder="1" applyAlignment="1">
      <alignment horizontal="center" vertical="center"/>
    </xf>
    <xf numFmtId="0" fontId="11" fillId="4" borderId="1" xfId="13" applyFont="1" applyFill="1" applyBorder="1">
      <alignment vertical="center"/>
    </xf>
    <xf numFmtId="0" fontId="11" fillId="4" borderId="1" xfId="13" applyFont="1" applyFill="1" applyBorder="1" applyAlignment="1">
      <alignment vertical="center" wrapText="1"/>
    </xf>
    <xf numFmtId="3" fontId="11" fillId="4" borderId="1" xfId="13" applyNumberFormat="1" applyFont="1" applyFill="1" applyBorder="1" applyAlignment="1">
      <alignment horizontal="right" vertical="center"/>
    </xf>
    <xf numFmtId="0" fontId="11" fillId="4" borderId="1" xfId="13" applyFont="1" applyFill="1" applyBorder="1" applyAlignment="1">
      <alignment horizontal="right" vertical="center"/>
    </xf>
    <xf numFmtId="14" fontId="11" fillId="4" borderId="1" xfId="13" applyNumberFormat="1" applyFont="1" applyFill="1" applyBorder="1">
      <alignment vertical="center"/>
    </xf>
    <xf numFmtId="0" fontId="21" fillId="0" borderId="0" xfId="14">
      <alignment vertical="center"/>
    </xf>
    <xf numFmtId="0" fontId="21" fillId="0" borderId="1" xfId="14" applyBorder="1">
      <alignment vertical="center"/>
    </xf>
    <xf numFmtId="0" fontId="11" fillId="2" borderId="1" xfId="13" quotePrefix="1" applyFont="1" applyFill="1" applyBorder="1" applyAlignment="1">
      <alignment horizontal="left" vertical="center"/>
    </xf>
    <xf numFmtId="0" fontId="21" fillId="3" borderId="1" xfId="14" applyFill="1" applyBorder="1" applyAlignment="1">
      <alignment horizontal="left" vertical="center"/>
    </xf>
    <xf numFmtId="0" fontId="10" fillId="0" borderId="1" xfId="14" applyFont="1" applyBorder="1" applyAlignment="1">
      <alignment horizontal="left" vertical="center"/>
    </xf>
    <xf numFmtId="0" fontId="21" fillId="0" borderId="0" xfId="14" applyAlignment="1">
      <alignment horizontal="left" vertical="center"/>
    </xf>
    <xf numFmtId="0" fontId="21" fillId="3" borderId="0" xfId="14" applyFill="1" applyAlignment="1">
      <alignment horizontal="left" vertical="center"/>
    </xf>
    <xf numFmtId="14" fontId="11" fillId="0" borderId="1" xfId="13" applyNumberFormat="1" applyFont="1" applyBorder="1" applyAlignment="1">
      <alignment horizontal="center" vertical="center"/>
    </xf>
    <xf numFmtId="0" fontId="21" fillId="5" borderId="1" xfId="14" applyFill="1" applyBorder="1" applyAlignment="1">
      <alignment horizontal="left" vertical="center"/>
    </xf>
    <xf numFmtId="0" fontId="22" fillId="0" borderId="1" xfId="14" applyFont="1" applyBorder="1" applyAlignment="1">
      <alignment horizontal="left" vertical="center"/>
    </xf>
    <xf numFmtId="0" fontId="21" fillId="6" borderId="1" xfId="14" applyFill="1" applyBorder="1" applyAlignment="1">
      <alignment horizontal="left" vertical="center"/>
    </xf>
    <xf numFmtId="0" fontId="21" fillId="5" borderId="0" xfId="14" applyFill="1" applyAlignment="1">
      <alignment horizontal="left" vertical="center"/>
    </xf>
    <xf numFmtId="0" fontId="22" fillId="5" borderId="1" xfId="14" applyFont="1" applyFill="1" applyBorder="1" applyAlignment="1">
      <alignment horizontal="left" vertical="center"/>
    </xf>
    <xf numFmtId="0" fontId="11" fillId="0" borderId="5" xfId="13" applyFont="1" applyBorder="1">
      <alignment vertical="center"/>
    </xf>
    <xf numFmtId="0" fontId="11" fillId="0" borderId="5" xfId="13" applyFont="1" applyBorder="1" applyAlignment="1">
      <alignment horizontal="left" vertical="center"/>
    </xf>
    <xf numFmtId="0" fontId="11" fillId="0" borderId="5" xfId="13" applyFont="1" applyBorder="1" applyAlignment="1">
      <alignment vertical="center" wrapText="1"/>
    </xf>
    <xf numFmtId="0" fontId="11" fillId="0" borderId="1" xfId="13" applyFont="1" applyBorder="1" applyAlignment="1">
      <alignment horizontal="left" vertical="center" wrapText="1"/>
    </xf>
    <xf numFmtId="0" fontId="22" fillId="0" borderId="0" xfId="14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0" xfId="15"/>
    <xf numFmtId="0" fontId="4" fillId="0" borderId="6" xfId="15" applyFont="1" applyBorder="1"/>
    <xf numFmtId="0" fontId="28" fillId="11" borderId="10" xfId="0" applyFont="1" applyFill="1" applyBorder="1" applyAlignment="1">
      <alignment horizontal="center" vertical="center" wrapText="1"/>
    </xf>
    <xf numFmtId="0" fontId="29" fillId="0" borderId="0" xfId="15" applyFont="1"/>
    <xf numFmtId="0" fontId="29" fillId="0" borderId="0" xfId="15" applyFont="1" applyAlignment="1">
      <alignment wrapText="1"/>
    </xf>
    <xf numFmtId="0" fontId="30" fillId="12" borderId="6" xfId="15" applyFont="1" applyFill="1" applyBorder="1" applyAlignment="1">
      <alignment wrapText="1"/>
    </xf>
    <xf numFmtId="0" fontId="31" fillId="13" borderId="6" xfId="15" applyFont="1" applyFill="1" applyBorder="1" applyAlignment="1">
      <alignment horizontal="center"/>
    </xf>
    <xf numFmtId="0" fontId="31" fillId="0" borderId="6" xfId="15" applyFont="1" applyBorder="1" applyAlignment="1">
      <alignment horizontal="center"/>
    </xf>
    <xf numFmtId="0" fontId="32" fillId="14" borderId="11" xfId="0" applyFont="1" applyFill="1" applyBorder="1" applyAlignment="1">
      <alignment horizontal="left" vertical="center"/>
    </xf>
    <xf numFmtId="0" fontId="33" fillId="15" borderId="12" xfId="0" applyFont="1" applyFill="1" applyBorder="1" applyAlignment="1">
      <alignment horizontal="left" vertical="top" wrapText="1"/>
    </xf>
    <xf numFmtId="0" fontId="32" fillId="16" borderId="12" xfId="0" applyFont="1" applyFill="1" applyBorder="1" applyAlignment="1">
      <alignment horizontal="right" vertical="center" wrapText="1"/>
    </xf>
    <xf numFmtId="0" fontId="32" fillId="0" borderId="12" xfId="0" applyFont="1" applyBorder="1" applyAlignment="1">
      <alignment horizontal="right" vertical="center" wrapText="1"/>
    </xf>
    <xf numFmtId="0" fontId="32" fillId="17" borderId="11" xfId="0" applyFont="1" applyFill="1" applyBorder="1" applyAlignment="1">
      <alignment horizontal="left" vertical="center"/>
    </xf>
    <xf numFmtId="0" fontId="33" fillId="17" borderId="12" xfId="0" applyFont="1" applyFill="1" applyBorder="1" applyAlignment="1">
      <alignment horizontal="left" vertical="top" wrapText="1"/>
    </xf>
    <xf numFmtId="0" fontId="32" fillId="17" borderId="12" xfId="0" applyFont="1" applyFill="1" applyBorder="1" applyAlignment="1">
      <alignment horizontal="right" vertical="center" wrapText="1"/>
    </xf>
    <xf numFmtId="0" fontId="32" fillId="14" borderId="0" xfId="0" applyFont="1" applyFill="1" applyAlignment="1">
      <alignment horizontal="left" vertical="center"/>
    </xf>
    <xf numFmtId="0" fontId="33" fillId="15" borderId="0" xfId="0" applyFont="1" applyFill="1" applyAlignment="1">
      <alignment horizontal="left" vertical="top" wrapText="1"/>
    </xf>
    <xf numFmtId="0" fontId="29" fillId="0" borderId="0" xfId="15" applyFont="1" applyAlignment="1">
      <alignment horizontal="center"/>
    </xf>
    <xf numFmtId="0" fontId="34" fillId="12" borderId="6" xfId="15" applyFont="1" applyFill="1" applyBorder="1" applyAlignment="1">
      <alignment vertical="top" wrapText="1"/>
    </xf>
    <xf numFmtId="10" fontId="0" fillId="0" borderId="0" xfId="2" applyNumberFormat="1" applyFont="1" applyAlignment="1"/>
    <xf numFmtId="10" fontId="0" fillId="0" borderId="0" xfId="2" applyNumberFormat="1" applyFont="1" applyFill="1" applyAlignment="1"/>
    <xf numFmtId="177" fontId="0" fillId="0" borderId="0" xfId="1" applyNumberFormat="1" applyFont="1" applyAlignment="1"/>
    <xf numFmtId="0" fontId="28" fillId="11" borderId="14" xfId="0" applyFont="1" applyFill="1" applyBorder="1" applyAlignment="1">
      <alignment horizontal="center" vertical="center" wrapText="1"/>
    </xf>
    <xf numFmtId="0" fontId="28" fillId="11" borderId="12" xfId="0" applyFont="1" applyFill="1" applyBorder="1" applyAlignment="1">
      <alignment horizontal="center" vertical="center" wrapText="1"/>
    </xf>
    <xf numFmtId="0" fontId="36" fillId="14" borderId="11" xfId="0" applyFont="1" applyFill="1" applyBorder="1" applyAlignment="1">
      <alignment horizontal="left" vertical="center" wrapText="1"/>
    </xf>
    <xf numFmtId="0" fontId="32" fillId="15" borderId="12" xfId="0" applyFont="1" applyFill="1" applyBorder="1" applyAlignment="1">
      <alignment horizontal="center" vertical="center" wrapText="1"/>
    </xf>
    <xf numFmtId="0" fontId="32" fillId="0" borderId="12" xfId="0" applyFont="1" applyBorder="1" applyAlignment="1">
      <alignment horizontal="left" vertical="center" wrapText="1"/>
    </xf>
    <xf numFmtId="0" fontId="37" fillId="0" borderId="0" xfId="0" applyFont="1">
      <alignment vertical="center"/>
    </xf>
    <xf numFmtId="0" fontId="0" fillId="0" borderId="0" xfId="0" applyAlignment="1">
      <alignment horizontal="center" vertical="center"/>
    </xf>
    <xf numFmtId="178" fontId="0" fillId="0" borderId="0" xfId="2" applyNumberFormat="1" applyFont="1">
      <alignment vertical="center"/>
    </xf>
    <xf numFmtId="0" fontId="11" fillId="2" borderId="5" xfId="13" applyFont="1" applyFill="1" applyBorder="1" applyAlignment="1">
      <alignment vertical="center" wrapText="1"/>
    </xf>
    <xf numFmtId="0" fontId="11" fillId="0" borderId="5" xfId="13" quotePrefix="1" applyFont="1" applyBorder="1" applyAlignment="1">
      <alignment vertical="center" wrapText="1"/>
    </xf>
    <xf numFmtId="3" fontId="11" fillId="0" borderId="0" xfId="13" applyNumberFormat="1" applyFont="1" applyAlignment="1">
      <alignment horizontal="right" vertical="center"/>
    </xf>
    <xf numFmtId="0" fontId="22" fillId="8" borderId="0" xfId="14" applyFont="1" applyFill="1" applyAlignment="1">
      <alignment horizontal="left" vertical="center"/>
    </xf>
    <xf numFmtId="0" fontId="22" fillId="5" borderId="0" xfId="14" applyFont="1" applyFill="1" applyAlignment="1">
      <alignment horizontal="left" vertical="center"/>
    </xf>
    <xf numFmtId="0" fontId="22" fillId="3" borderId="0" xfId="14" applyFont="1" applyFill="1" applyAlignment="1">
      <alignment horizontal="left" vertical="center"/>
    </xf>
    <xf numFmtId="0" fontId="22" fillId="7" borderId="0" xfId="14" applyFont="1" applyFill="1" applyAlignment="1">
      <alignment horizontal="left" vertical="center"/>
    </xf>
    <xf numFmtId="0" fontId="28" fillId="11" borderId="18" xfId="0" applyFont="1" applyFill="1" applyBorder="1" applyAlignment="1">
      <alignment horizontal="center" vertical="center" wrapText="1"/>
    </xf>
    <xf numFmtId="0" fontId="32" fillId="0" borderId="17" xfId="0" applyFont="1" applyBorder="1" applyAlignment="1">
      <alignment horizontal="right" vertical="center" wrapText="1"/>
    </xf>
    <xf numFmtId="0" fontId="42" fillId="11" borderId="19" xfId="0" applyFont="1" applyFill="1" applyBorder="1" applyAlignment="1">
      <alignment horizontal="center" vertical="center" wrapText="1"/>
    </xf>
    <xf numFmtId="10" fontId="40" fillId="0" borderId="20" xfId="2" applyNumberFormat="1" applyFont="1" applyFill="1" applyBorder="1" applyAlignment="1"/>
    <xf numFmtId="10" fontId="40" fillId="0" borderId="21" xfId="2" applyNumberFormat="1" applyFont="1" applyFill="1" applyBorder="1" applyAlignment="1"/>
    <xf numFmtId="0" fontId="8" fillId="0" borderId="0" xfId="6" applyFont="1" applyAlignment="1">
      <alignment horizontal="left" vertical="center"/>
    </xf>
    <xf numFmtId="176" fontId="8" fillId="0" borderId="1" xfId="6" applyNumberFormat="1" applyFont="1" applyBorder="1" applyAlignment="1">
      <alignment horizontal="center" vertical="center"/>
    </xf>
    <xf numFmtId="0" fontId="43" fillId="0" borderId="0" xfId="0" applyFont="1" applyAlignment="1">
      <alignment vertical="center" wrapText="1"/>
    </xf>
    <xf numFmtId="0" fontId="44" fillId="0" borderId="0" xfId="0" applyFont="1">
      <alignment vertical="center"/>
    </xf>
    <xf numFmtId="178" fontId="0" fillId="4" borderId="0" xfId="2" applyNumberFormat="1" applyFont="1" applyFill="1">
      <alignment vertical="center"/>
    </xf>
    <xf numFmtId="178" fontId="0" fillId="18" borderId="0" xfId="2" applyNumberFormat="1" applyFont="1" applyFill="1">
      <alignment vertical="center"/>
    </xf>
    <xf numFmtId="0" fontId="8" fillId="0" borderId="0" xfId="6" applyFont="1" applyAlignment="1">
      <alignment horizontal="center" vertical="center"/>
    </xf>
    <xf numFmtId="0" fontId="8" fillId="18" borderId="1" xfId="6" applyFont="1" applyFill="1" applyBorder="1" applyAlignment="1">
      <alignment horizontal="center" vertical="center"/>
    </xf>
    <xf numFmtId="0" fontId="8" fillId="2" borderId="1" xfId="6" applyFont="1" applyFill="1" applyBorder="1" applyAlignment="1">
      <alignment horizontal="center" vertical="center"/>
    </xf>
    <xf numFmtId="0" fontId="8" fillId="0" borderId="1" xfId="6" applyFont="1" applyBorder="1" applyAlignment="1">
      <alignment horizontal="center" vertical="center" wrapText="1"/>
    </xf>
    <xf numFmtId="0" fontId="8" fillId="2" borderId="1" xfId="6" applyFont="1" applyFill="1" applyBorder="1" applyAlignment="1">
      <alignment horizontal="center" vertical="center" wrapText="1"/>
    </xf>
    <xf numFmtId="0" fontId="8" fillId="19" borderId="1" xfId="6" applyFont="1" applyFill="1" applyBorder="1" applyAlignment="1">
      <alignment horizontal="center" vertical="center"/>
    </xf>
    <xf numFmtId="0" fontId="8" fillId="19" borderId="1" xfId="6" applyFont="1" applyFill="1" applyBorder="1" applyAlignment="1">
      <alignment horizontal="center" vertical="center" wrapText="1"/>
    </xf>
    <xf numFmtId="0" fontId="8" fillId="4" borderId="1" xfId="6" applyFont="1" applyFill="1" applyBorder="1" applyAlignment="1">
      <alignment horizontal="center" vertical="center"/>
    </xf>
    <xf numFmtId="0" fontId="8" fillId="4" borderId="1" xfId="6" applyFont="1" applyFill="1" applyBorder="1" applyAlignment="1">
      <alignment horizontal="center" vertical="center" wrapText="1"/>
    </xf>
    <xf numFmtId="0" fontId="8" fillId="4" borderId="1" xfId="6" applyFont="1" applyFill="1" applyBorder="1" applyAlignment="1">
      <alignment horizontal="left" vertical="center"/>
    </xf>
    <xf numFmtId="0" fontId="9" fillId="4" borderId="1" xfId="6" applyFont="1" applyFill="1" applyBorder="1" applyAlignment="1">
      <alignment horizontal="center" vertical="center" wrapText="1"/>
    </xf>
    <xf numFmtId="0" fontId="9" fillId="19" borderId="1" xfId="6" applyFont="1" applyFill="1" applyBorder="1" applyAlignment="1">
      <alignment horizontal="center" vertical="center" wrapText="1"/>
    </xf>
    <xf numFmtId="0" fontId="8" fillId="19" borderId="1" xfId="6" applyFont="1" applyFill="1" applyBorder="1" applyAlignment="1">
      <alignment horizontal="left" vertical="center"/>
    </xf>
    <xf numFmtId="0" fontId="8" fillId="2" borderId="1" xfId="6" applyFont="1" applyFill="1" applyBorder="1" applyAlignment="1">
      <alignment horizontal="left" vertical="center"/>
    </xf>
    <xf numFmtId="0" fontId="8" fillId="3" borderId="1" xfId="6" applyFont="1" applyFill="1" applyBorder="1" applyAlignment="1">
      <alignment horizontal="center" vertical="center"/>
    </xf>
    <xf numFmtId="0" fontId="8" fillId="3" borderId="1" xfId="6" applyFont="1" applyFill="1" applyBorder="1" applyAlignment="1">
      <alignment horizontal="center" vertical="center" wrapText="1"/>
    </xf>
    <xf numFmtId="0" fontId="45" fillId="4" borderId="1" xfId="6" applyFont="1" applyFill="1" applyBorder="1" applyAlignment="1">
      <alignment horizontal="center" vertical="center"/>
    </xf>
    <xf numFmtId="0" fontId="45" fillId="4" borderId="1" xfId="6" applyFont="1" applyFill="1" applyBorder="1" applyAlignment="1">
      <alignment horizontal="center" vertical="center" wrapText="1"/>
    </xf>
    <xf numFmtId="0" fontId="46" fillId="4" borderId="1" xfId="6" applyFont="1" applyFill="1" applyBorder="1" applyAlignment="1">
      <alignment horizontal="center" vertical="center"/>
    </xf>
    <xf numFmtId="0" fontId="46" fillId="4" borderId="1" xfId="6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center" vertical="center"/>
    </xf>
    <xf numFmtId="0" fontId="9" fillId="2" borderId="1" xfId="6" applyFont="1" applyFill="1" applyBorder="1" applyAlignment="1">
      <alignment horizontal="center" vertical="center" wrapText="1"/>
    </xf>
    <xf numFmtId="0" fontId="9" fillId="0" borderId="1" xfId="6" applyFont="1" applyBorder="1" applyAlignment="1">
      <alignment horizontal="left" vertical="center"/>
    </xf>
    <xf numFmtId="0" fontId="9" fillId="0" borderId="1" xfId="6" applyFont="1" applyBorder="1" applyAlignment="1">
      <alignment horizontal="left" vertical="center" wrapText="1"/>
    </xf>
    <xf numFmtId="0" fontId="9" fillId="18" borderId="1" xfId="6" applyFont="1" applyFill="1" applyBorder="1" applyAlignment="1">
      <alignment horizontal="left" vertical="center" wrapText="1"/>
    </xf>
    <xf numFmtId="0" fontId="9" fillId="18" borderId="1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left" vertical="center" wrapText="1"/>
    </xf>
    <xf numFmtId="0" fontId="8" fillId="20" borderId="1" xfId="6" applyFont="1" applyFill="1" applyBorder="1" applyAlignment="1">
      <alignment horizontal="center" vertical="center"/>
    </xf>
    <xf numFmtId="0" fontId="8" fillId="20" borderId="1" xfId="6" applyFont="1" applyFill="1" applyBorder="1" applyAlignment="1">
      <alignment horizontal="center" vertical="center" wrapText="1"/>
    </xf>
    <xf numFmtId="0" fontId="50" fillId="22" borderId="1" xfId="0" applyFont="1" applyFill="1" applyBorder="1" applyAlignment="1">
      <alignment horizontal="center" vertical="center" wrapText="1"/>
    </xf>
    <xf numFmtId="0" fontId="48" fillId="22" borderId="1" xfId="0" applyFont="1" applyFill="1" applyBorder="1" applyAlignment="1">
      <alignment horizontal="center" vertical="center" wrapText="1"/>
    </xf>
    <xf numFmtId="14" fontId="47" fillId="0" borderId="1" xfId="0" applyNumberFormat="1" applyFont="1" applyBorder="1" applyAlignment="1">
      <alignment horizontal="center" vertical="center" wrapText="1"/>
    </xf>
    <xf numFmtId="0" fontId="47" fillId="21" borderId="1" xfId="0" applyFont="1" applyFill="1" applyBorder="1" applyAlignment="1">
      <alignment horizontal="center" vertical="center" wrapText="1"/>
    </xf>
    <xf numFmtId="0" fontId="49" fillId="22" borderId="1" xfId="0" applyFont="1" applyFill="1" applyBorder="1" applyAlignment="1">
      <alignment horizontal="center" vertical="center" wrapText="1"/>
    </xf>
    <xf numFmtId="0" fontId="47" fillId="21" borderId="1" xfId="0" applyFont="1" applyFill="1" applyBorder="1" applyAlignment="1">
      <alignment vertical="center" wrapText="1"/>
    </xf>
    <xf numFmtId="14" fontId="47" fillId="21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>
      <alignment vertical="center"/>
    </xf>
    <xf numFmtId="0" fontId="47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9" fillId="20" borderId="1" xfId="6" applyFont="1" applyFill="1" applyBorder="1" applyAlignment="1">
      <alignment horizontal="center" vertical="center"/>
    </xf>
    <xf numFmtId="0" fontId="9" fillId="20" borderId="1" xfId="6" applyFont="1" applyFill="1" applyBorder="1" applyAlignment="1">
      <alignment horizontal="center" vertical="center" wrapText="1"/>
    </xf>
    <xf numFmtId="0" fontId="47" fillId="21" borderId="2" xfId="0" applyFont="1" applyFill="1" applyBorder="1" applyAlignment="1">
      <alignment vertical="center" wrapText="1"/>
    </xf>
    <xf numFmtId="14" fontId="47" fillId="21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>
      <alignment vertical="center"/>
    </xf>
    <xf numFmtId="0" fontId="47" fillId="0" borderId="0" xfId="0" applyFont="1" applyAlignment="1">
      <alignment horizontal="center" vertical="center" wrapText="1"/>
    </xf>
    <xf numFmtId="0" fontId="47" fillId="21" borderId="22" xfId="0" applyFont="1" applyFill="1" applyBorder="1" applyAlignment="1">
      <alignment horizontal="center" vertical="center" wrapText="1"/>
    </xf>
    <xf numFmtId="0" fontId="47" fillId="0" borderId="22" xfId="0" applyFont="1" applyBorder="1" applyAlignment="1">
      <alignment horizontal="center" vertical="center" wrapText="1"/>
    </xf>
    <xf numFmtId="0" fontId="0" fillId="0" borderId="23" xfId="0" applyBorder="1">
      <alignment vertical="center"/>
    </xf>
    <xf numFmtId="0" fontId="8" fillId="23" borderId="1" xfId="6" applyFont="1" applyFill="1" applyBorder="1" applyAlignment="1">
      <alignment horizontal="center" vertical="center"/>
    </xf>
    <xf numFmtId="0" fontId="8" fillId="23" borderId="1" xfId="6" applyFont="1" applyFill="1" applyBorder="1" applyAlignment="1">
      <alignment horizontal="center" vertical="center" wrapText="1"/>
    </xf>
    <xf numFmtId="179" fontId="11" fillId="0" borderId="1" xfId="9" applyNumberFormat="1" applyFont="1" applyBorder="1">
      <alignment vertical="center"/>
    </xf>
    <xf numFmtId="3" fontId="41" fillId="0" borderId="1" xfId="0" applyNumberFormat="1" applyFont="1" applyBorder="1">
      <alignment vertical="center"/>
    </xf>
    <xf numFmtId="41" fontId="11" fillId="0" borderId="1" xfId="9" applyFont="1" applyBorder="1" applyAlignment="1">
      <alignment horizontal="right" vertical="center" wrapText="1"/>
    </xf>
    <xf numFmtId="41" fontId="11" fillId="0" borderId="1" xfId="8" applyNumberFormat="1" applyFont="1" applyBorder="1">
      <alignment vertical="center"/>
    </xf>
    <xf numFmtId="0" fontId="12" fillId="0" borderId="0" xfId="8" applyFont="1" applyAlignment="1">
      <alignment horizontal="center" vertical="center"/>
    </xf>
    <xf numFmtId="0" fontId="15" fillId="0" borderId="1" xfId="8" applyFont="1" applyBorder="1">
      <alignment vertical="center"/>
    </xf>
    <xf numFmtId="0" fontId="9" fillId="23" borderId="1" xfId="6" applyFont="1" applyFill="1" applyBorder="1" applyAlignment="1">
      <alignment horizontal="center" vertical="center"/>
    </xf>
    <xf numFmtId="0" fontId="9" fillId="23" borderId="1" xfId="6" applyFont="1" applyFill="1" applyBorder="1" applyAlignment="1">
      <alignment horizontal="center" vertical="center" wrapText="1"/>
    </xf>
    <xf numFmtId="0" fontId="28" fillId="11" borderId="15" xfId="0" applyFont="1" applyFill="1" applyBorder="1" applyAlignment="1">
      <alignment horizontal="center" vertical="center" wrapText="1"/>
    </xf>
    <xf numFmtId="0" fontId="28" fillId="11" borderId="11" xfId="0" applyFont="1" applyFill="1" applyBorder="1" applyAlignment="1">
      <alignment horizontal="center" vertical="center" wrapText="1"/>
    </xf>
    <xf numFmtId="0" fontId="35" fillId="11" borderId="13" xfId="0" applyFont="1" applyFill="1" applyBorder="1" applyAlignment="1">
      <alignment horizontal="center" vertical="center" wrapText="1"/>
    </xf>
    <xf numFmtId="0" fontId="35" fillId="11" borderId="14" xfId="0" applyFont="1" applyFill="1" applyBorder="1" applyAlignment="1">
      <alignment horizontal="center" vertical="center" wrapText="1"/>
    </xf>
    <xf numFmtId="0" fontId="35" fillId="11" borderId="16" xfId="0" applyFont="1" applyFill="1" applyBorder="1" applyAlignment="1">
      <alignment horizontal="center" vertical="center" wrapText="1"/>
    </xf>
    <xf numFmtId="0" fontId="35" fillId="11" borderId="12" xfId="0" applyFont="1" applyFill="1" applyBorder="1" applyAlignment="1">
      <alignment horizontal="center" vertical="center" wrapText="1"/>
    </xf>
    <xf numFmtId="0" fontId="25" fillId="9" borderId="7" xfId="15" applyFont="1" applyFill="1" applyBorder="1" applyAlignment="1">
      <alignment horizontal="right" vertical="top" wrapText="1"/>
    </xf>
    <xf numFmtId="0" fontId="25" fillId="9" borderId="8" xfId="15" applyFont="1" applyFill="1" applyBorder="1" applyAlignment="1">
      <alignment horizontal="right" vertical="top" wrapText="1"/>
    </xf>
    <xf numFmtId="0" fontId="26" fillId="9" borderId="7" xfId="15" applyFont="1" applyFill="1" applyBorder="1" applyAlignment="1">
      <alignment vertical="top" wrapText="1"/>
    </xf>
    <xf numFmtId="0" fontId="26" fillId="9" borderId="9" xfId="15" applyFont="1" applyFill="1" applyBorder="1" applyAlignment="1">
      <alignment vertical="top" wrapText="1"/>
    </xf>
    <xf numFmtId="0" fontId="27" fillId="9" borderId="7" xfId="15" applyFont="1" applyFill="1" applyBorder="1" applyAlignment="1">
      <alignment vertical="top" wrapText="1"/>
    </xf>
    <xf numFmtId="0" fontId="27" fillId="9" borderId="9" xfId="15" applyFont="1" applyFill="1" applyBorder="1" applyAlignment="1">
      <alignment vertical="top" wrapText="1"/>
    </xf>
    <xf numFmtId="0" fontId="25" fillId="10" borderId="7" xfId="15" applyFont="1" applyFill="1" applyBorder="1" applyAlignment="1">
      <alignment horizontal="right" vertical="center" wrapText="1"/>
    </xf>
    <xf numFmtId="0" fontId="25" fillId="10" borderId="8" xfId="15" applyFont="1" applyFill="1" applyBorder="1" applyAlignment="1">
      <alignment horizontal="right" vertical="center" wrapText="1"/>
    </xf>
    <xf numFmtId="0" fontId="6" fillId="0" borderId="1" xfId="6" applyBorder="1" applyAlignment="1">
      <alignment horizontal="left" vertical="center"/>
    </xf>
    <xf numFmtId="0" fontId="11" fillId="0" borderId="1" xfId="13" applyFont="1" applyBorder="1" applyAlignment="1">
      <alignment horizontal="center" vertical="center"/>
    </xf>
    <xf numFmtId="0" fontId="11" fillId="0" borderId="2" xfId="13" applyFont="1" applyBorder="1" applyAlignment="1">
      <alignment horizontal="center" vertical="center"/>
    </xf>
    <xf numFmtId="0" fontId="11" fillId="0" borderId="5" xfId="13" applyFont="1" applyBorder="1" applyAlignment="1">
      <alignment horizontal="center" vertical="center"/>
    </xf>
    <xf numFmtId="0" fontId="8" fillId="0" borderId="1" xfId="6" applyFont="1" applyFill="1" applyBorder="1" applyAlignment="1">
      <alignment horizontal="center" vertical="center"/>
    </xf>
    <xf numFmtId="0" fontId="8" fillId="0" borderId="1" xfId="6" applyFont="1" applyFill="1" applyBorder="1" applyAlignment="1">
      <alignment horizontal="center" vertical="center" wrapText="1"/>
    </xf>
  </cellXfs>
  <cellStyles count="16">
    <cellStyle name="백분율" xfId="2" builtinId="5"/>
    <cellStyle name="백분율 2" xfId="4" xr:uid="{00000000-0005-0000-0000-000001000000}"/>
    <cellStyle name="백분율 2 2" xfId="10" xr:uid="{00000000-0005-0000-0000-000002000000}"/>
    <cellStyle name="쉼표 [0]" xfId="1" builtinId="6"/>
    <cellStyle name="쉼표 [0] 2" xfId="5" xr:uid="{00000000-0005-0000-0000-000004000000}"/>
    <cellStyle name="쉼표 [0] 2 2" xfId="9" xr:uid="{00000000-0005-0000-0000-000005000000}"/>
    <cellStyle name="쉼표 [0] 3" xfId="11" xr:uid="{00000000-0005-0000-0000-000006000000}"/>
    <cellStyle name="표준" xfId="0" builtinId="0"/>
    <cellStyle name="표준 2" xfId="3" xr:uid="{00000000-0005-0000-0000-000008000000}"/>
    <cellStyle name="표준 2 2" xfId="13" xr:uid="{00000000-0005-0000-0000-000009000000}"/>
    <cellStyle name="표준 2 3" xfId="15" xr:uid="{00000000-0005-0000-0000-00000A000000}"/>
    <cellStyle name="표준 3" xfId="6" xr:uid="{00000000-0005-0000-0000-00000B000000}"/>
    <cellStyle name="표준 4" xfId="8" xr:uid="{00000000-0005-0000-0000-00000C000000}"/>
    <cellStyle name="하이퍼링크" xfId="7" builtinId="8"/>
    <cellStyle name="하이퍼링크 2" xfId="14" xr:uid="{00000000-0005-0000-0000-00000E000000}"/>
    <cellStyle name="하이퍼링크 3" xfId="12" xr:uid="{00000000-0005-0000-0000-00000F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7-4332-9E4E-44C06C727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0-4E7B-994B-9B5794DE9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3-4E40-A365-C60322815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0.57692307692307687</c:v>
              </c:pt>
              <c:pt idx="1">
                <c:v>0.53846153846153844</c:v>
              </c:pt>
              <c:pt idx="2">
                <c:v>0.58333333333333337</c:v>
              </c:pt>
              <c:pt idx="3">
                <c:v>0.64</c:v>
              </c:pt>
              <c:pt idx="4">
                <c:v>0.52</c:v>
              </c:pt>
              <c:pt idx="5">
                <c:v>0.54166666666666663</c:v>
              </c:pt>
              <c:pt idx="6">
                <c:v>0.6</c:v>
              </c:pt>
              <c:pt idx="7">
                <c:v>0.52</c:v>
              </c:pt>
              <c:pt idx="8">
                <c:v>0.52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0314-493F-91A3-3788FCD63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3856"/>
        <c:axId val="-1883493312"/>
      </c:barChart>
      <c:catAx>
        <c:axId val="-18834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3312"/>
        <c:crosses val="autoZero"/>
        <c:auto val="1"/>
        <c:lblAlgn val="ctr"/>
        <c:lblOffset val="100"/>
        <c:noMultiLvlLbl val="0"/>
      </c:catAx>
      <c:valAx>
        <c:axId val="-18834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</c:v>
              </c:pt>
              <c:pt idx="1">
                <c:v>0.46153846153846156</c:v>
              </c:pt>
              <c:pt idx="2">
                <c:v>0.66666666666666663</c:v>
              </c:pt>
              <c:pt idx="3">
                <c:v>0.64</c:v>
              </c:pt>
              <c:pt idx="4">
                <c:v>0.56000000000000005</c:v>
              </c:pt>
              <c:pt idx="5">
                <c:v>0.5</c:v>
              </c:pt>
              <c:pt idx="6">
                <c:v>0.6</c:v>
              </c:pt>
              <c:pt idx="7">
                <c:v>0.48</c:v>
              </c:pt>
              <c:pt idx="8">
                <c:v>0.52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ED98-4DDD-8876-1943EAC59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4400"/>
        <c:axId val="-1883502016"/>
      </c:barChart>
      <c:catAx>
        <c:axId val="-188349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2016"/>
        <c:crosses val="autoZero"/>
        <c:auto val="1"/>
        <c:lblAlgn val="ctr"/>
        <c:lblOffset val="100"/>
        <c:noMultiLvlLbl val="0"/>
      </c:catAx>
      <c:valAx>
        <c:axId val="-188350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0.56000000000000005</c:v>
              </c:pt>
              <c:pt idx="1">
                <c:v>0.69230769230769229</c:v>
              </c:pt>
              <c:pt idx="2">
                <c:v>0.58333333333333337</c:v>
              </c:pt>
              <c:pt idx="3">
                <c:v>0.68</c:v>
              </c:pt>
              <c:pt idx="4">
                <c:v>0.48</c:v>
              </c:pt>
              <c:pt idx="5">
                <c:v>0.54166666666666663</c:v>
              </c:pt>
              <c:pt idx="6">
                <c:v>0.48</c:v>
              </c:pt>
              <c:pt idx="7">
                <c:v>0.48</c:v>
              </c:pt>
              <c:pt idx="8">
                <c:v>0.52</c:v>
              </c:pt>
              <c:pt idx="9">
                <c:v>0.4</c:v>
              </c:pt>
              <c:pt idx="10">
                <c:v>0.52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DAF3-48B4-AE78-9BEEFE798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500384"/>
        <c:axId val="-1883490592"/>
      </c:barChart>
      <c:catAx>
        <c:axId val="-188350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0592"/>
        <c:crosses val="autoZero"/>
        <c:auto val="1"/>
        <c:lblAlgn val="ctr"/>
        <c:lblOffset val="100"/>
        <c:noMultiLvlLbl val="0"/>
      </c:catAx>
      <c:valAx>
        <c:axId val="-188349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0.56000000000000005</c:v>
              </c:pt>
              <c:pt idx="1">
                <c:v>0.76923076923076927</c:v>
              </c:pt>
              <c:pt idx="2">
                <c:v>0.625</c:v>
              </c:pt>
              <c:pt idx="3">
                <c:v>0.84</c:v>
              </c:pt>
              <c:pt idx="4">
                <c:v>0.6</c:v>
              </c:pt>
              <c:pt idx="5">
                <c:v>0.5</c:v>
              </c:pt>
              <c:pt idx="6">
                <c:v>0.48</c:v>
              </c:pt>
              <c:pt idx="7">
                <c:v>0.52</c:v>
              </c:pt>
              <c:pt idx="8">
                <c:v>0.56000000000000005</c:v>
              </c:pt>
              <c:pt idx="9">
                <c:v>0.36</c:v>
              </c:pt>
              <c:pt idx="10">
                <c:v>0.44</c:v>
              </c:pt>
              <c:pt idx="11">
                <c:v>0.48</c:v>
              </c:pt>
            </c:numLit>
          </c:val>
          <c:extLst>
            <c:ext xmlns:c16="http://schemas.microsoft.com/office/drawing/2014/chart" uri="{C3380CC4-5D6E-409C-BE32-E72D297353CC}">
              <c16:uniqueId val="{00000000-FF90-4383-BBA9-ED90E3111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5488"/>
        <c:axId val="-1883490048"/>
      </c:barChart>
      <c:catAx>
        <c:axId val="-188349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0048"/>
        <c:crosses val="autoZero"/>
        <c:auto val="1"/>
        <c:lblAlgn val="ctr"/>
        <c:lblOffset val="100"/>
        <c:noMultiLvlLbl val="0"/>
      </c:catAx>
      <c:valAx>
        <c:axId val="-188349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0.57692307692307687</c:v>
              </c:pt>
              <c:pt idx="1">
                <c:v>0.46153846153846156</c:v>
              </c:pt>
              <c:pt idx="2">
                <c:v>0.625</c:v>
              </c:pt>
              <c:pt idx="3">
                <c:v>0.64</c:v>
              </c:pt>
              <c:pt idx="4">
                <c:v>0.52</c:v>
              </c:pt>
              <c:pt idx="5">
                <c:v>0.5</c:v>
              </c:pt>
              <c:pt idx="6">
                <c:v>0.6</c:v>
              </c:pt>
              <c:pt idx="7">
                <c:v>0.44</c:v>
              </c:pt>
              <c:pt idx="8">
                <c:v>0.48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254B-4CBD-AA71-19FD9C3DD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9296"/>
        <c:axId val="-1883503104"/>
      </c:barChart>
      <c:catAx>
        <c:axId val="-188349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3104"/>
        <c:crosses val="autoZero"/>
        <c:auto val="1"/>
        <c:lblAlgn val="ctr"/>
        <c:lblOffset val="100"/>
        <c:noMultiLvlLbl val="0"/>
      </c:catAx>
      <c:valAx>
        <c:axId val="-188350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0.53846153846153844</c:v>
              </c:pt>
              <c:pt idx="1">
                <c:v>0.57692307692307687</c:v>
              </c:pt>
              <c:pt idx="2">
                <c:v>0.625</c:v>
              </c:pt>
              <c:pt idx="3">
                <c:v>0.76</c:v>
              </c:pt>
              <c:pt idx="4">
                <c:v>0.48</c:v>
              </c:pt>
              <c:pt idx="5">
                <c:v>0.45833333333333331</c:v>
              </c:pt>
              <c:pt idx="6">
                <c:v>0.4</c:v>
              </c:pt>
              <c:pt idx="7">
                <c:v>0.4</c:v>
              </c:pt>
              <c:pt idx="8">
                <c:v>0.48</c:v>
              </c:pt>
              <c:pt idx="9">
                <c:v>0.44</c:v>
              </c:pt>
              <c:pt idx="10">
                <c:v>0.52</c:v>
              </c:pt>
              <c:pt idx="11">
                <c:v>0.56000000000000005</c:v>
              </c:pt>
            </c:numLit>
          </c:val>
          <c:extLst>
            <c:ext xmlns:c16="http://schemas.microsoft.com/office/drawing/2014/chart" uri="{C3380CC4-5D6E-409C-BE32-E72D297353CC}">
              <c16:uniqueId val="{00000000-B751-4FE3-8DE3-C7CA4802C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502560"/>
        <c:axId val="-1883496576"/>
      </c:barChart>
      <c:catAx>
        <c:axId val="-188350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6576"/>
        <c:crosses val="autoZero"/>
        <c:auto val="1"/>
        <c:lblAlgn val="ctr"/>
        <c:lblOffset val="100"/>
        <c:noMultiLvlLbl val="0"/>
      </c:catAx>
      <c:valAx>
        <c:axId val="-188349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0.66666666666666663</c:v>
              </c:pt>
              <c:pt idx="1">
                <c:v>0.625</c:v>
              </c:pt>
              <c:pt idx="2">
                <c:v>0.7857142857142857</c:v>
              </c:pt>
              <c:pt idx="3">
                <c:v>0.53333333333333333</c:v>
              </c:pt>
              <c:pt idx="4">
                <c:v>0.53333333333333333</c:v>
              </c:pt>
              <c:pt idx="5">
                <c:v>0.5714285714285714</c:v>
              </c:pt>
              <c:pt idx="6">
                <c:v>0.4</c:v>
              </c:pt>
              <c:pt idx="7">
                <c:v>0.46666666666666667</c:v>
              </c:pt>
              <c:pt idx="8">
                <c:v>0.53333333333333333</c:v>
              </c:pt>
              <c:pt idx="9">
                <c:v>0.4</c:v>
              </c:pt>
              <c:pt idx="10">
                <c:v>0.46666666666666667</c:v>
              </c:pt>
              <c:pt idx="11">
                <c:v>0.53333333333333333</c:v>
              </c:pt>
            </c:numLit>
          </c:val>
          <c:extLst>
            <c:ext xmlns:c16="http://schemas.microsoft.com/office/drawing/2014/chart" uri="{C3380CC4-5D6E-409C-BE32-E72D297353CC}">
              <c16:uniqueId val="{00000000-D615-4541-994E-30E2DF490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752"/>
        <c:axId val="-1883501472"/>
      </c:barChart>
      <c:catAx>
        <c:axId val="-188349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1472"/>
        <c:crosses val="autoZero"/>
        <c:auto val="1"/>
        <c:lblAlgn val="ctr"/>
        <c:lblOffset val="100"/>
        <c:noMultiLvlLbl val="0"/>
      </c:catAx>
      <c:valAx>
        <c:axId val="-18835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0.54166666666666663</c:v>
              </c:pt>
              <c:pt idx="1">
                <c:v>0.6</c:v>
              </c:pt>
              <c:pt idx="2">
                <c:v>0.69565217391304346</c:v>
              </c:pt>
              <c:pt idx="3">
                <c:v>0.75</c:v>
              </c:pt>
              <c:pt idx="4">
                <c:v>0.45833333333333331</c:v>
              </c:pt>
              <c:pt idx="5">
                <c:v>0.47826086956521741</c:v>
              </c:pt>
              <c:pt idx="6">
                <c:v>0.375</c:v>
              </c:pt>
              <c:pt idx="7">
                <c:v>0.41666666666666669</c:v>
              </c:pt>
              <c:pt idx="8">
                <c:v>0.54166666666666663</c:v>
              </c:pt>
              <c:pt idx="9">
                <c:v>0.375</c:v>
              </c:pt>
              <c:pt idx="10">
                <c:v>0.5</c:v>
              </c:pt>
              <c:pt idx="11">
                <c:v>0.5</c:v>
              </c:pt>
            </c:numLit>
          </c:val>
          <c:extLst>
            <c:ext xmlns:c16="http://schemas.microsoft.com/office/drawing/2014/chart" uri="{C3380CC4-5D6E-409C-BE32-E72D297353CC}">
              <c16:uniqueId val="{00000000-067A-4E5B-BAA8-B523C1E1D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7664"/>
        <c:axId val="-1883496032"/>
      </c:barChart>
      <c:catAx>
        <c:axId val="-188349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6032"/>
        <c:crosses val="autoZero"/>
        <c:auto val="1"/>
        <c:lblAlgn val="ctr"/>
        <c:lblOffset val="100"/>
        <c:noMultiLvlLbl val="0"/>
      </c:catAx>
      <c:valAx>
        <c:axId val="-188349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0.625</c:v>
              </c:pt>
              <c:pt idx="1">
                <c:v>0.6</c:v>
              </c:pt>
              <c:pt idx="2">
                <c:v>0.69565217391304346</c:v>
              </c:pt>
              <c:pt idx="3">
                <c:v>0.66666666666666663</c:v>
              </c:pt>
              <c:pt idx="4">
                <c:v>0.54166666666666663</c:v>
              </c:pt>
              <c:pt idx="5">
                <c:v>0.43478260869565216</c:v>
              </c:pt>
              <c:pt idx="6">
                <c:v>0.45833333333333331</c:v>
              </c:pt>
              <c:pt idx="7">
                <c:v>0.375</c:v>
              </c:pt>
              <c:pt idx="8">
                <c:v>0.5</c:v>
              </c:pt>
              <c:pt idx="9">
                <c:v>0.375</c:v>
              </c:pt>
              <c:pt idx="10">
                <c:v>0.5</c:v>
              </c:pt>
              <c:pt idx="11">
                <c:v>0.45833333333333331</c:v>
              </c:pt>
            </c:numLit>
          </c:val>
          <c:extLst>
            <c:ext xmlns:c16="http://schemas.microsoft.com/office/drawing/2014/chart" uri="{C3380CC4-5D6E-409C-BE32-E72D297353CC}">
              <c16:uniqueId val="{00000000-603D-4ACE-8E72-1ABD525D5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4944"/>
        <c:axId val="958011072"/>
      </c:barChart>
      <c:catAx>
        <c:axId val="-188349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1072"/>
        <c:crosses val="autoZero"/>
        <c:auto val="1"/>
        <c:lblAlgn val="ctr"/>
        <c:lblOffset val="100"/>
        <c:noMultiLvlLbl val="0"/>
      </c:catAx>
      <c:valAx>
        <c:axId val="95801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7.7269230769230765E-3</c:v>
              </c:pt>
              <c:pt idx="1">
                <c:v>-1.7307692307692302E-3</c:v>
              </c:pt>
              <c:pt idx="2">
                <c:v>9.5583333333333388E-3</c:v>
              </c:pt>
              <c:pt idx="3">
                <c:v>2.3032000000000004E-2</c:v>
              </c:pt>
              <c:pt idx="4">
                <c:v>1.7439999999999992E-3</c:v>
              </c:pt>
              <c:pt idx="5">
                <c:v>-3.3874999999999995E-3</c:v>
              </c:pt>
              <c:pt idx="6">
                <c:v>8.1400000000000014E-3</c:v>
              </c:pt>
              <c:pt idx="7">
                <c:v>-3.9999999999999983E-3</c:v>
              </c:pt>
              <c:pt idx="8">
                <c:v>-1.1472000000000003E-2</c:v>
              </c:pt>
              <c:pt idx="9">
                <c:v>-1.1128000000000002E-2</c:v>
              </c:pt>
              <c:pt idx="10">
                <c:v>3.1264E-2</c:v>
              </c:pt>
              <c:pt idx="11">
                <c:v>1.5208000000000001E-2</c:v>
              </c:pt>
            </c:numLit>
          </c:val>
          <c:extLst>
            <c:ext xmlns:c16="http://schemas.microsoft.com/office/drawing/2014/chart" uri="{C3380CC4-5D6E-409C-BE32-E72D297353CC}">
              <c16:uniqueId val="{00000000-7F1D-4B3A-BF3D-2064EAF1D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12704"/>
        <c:axId val="958012160"/>
      </c:barChart>
      <c:catAx>
        <c:axId val="95801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2160"/>
        <c:crosses val="autoZero"/>
        <c:auto val="1"/>
        <c:lblAlgn val="ctr"/>
        <c:lblOffset val="100"/>
        <c:noMultiLvlLbl val="0"/>
      </c:catAx>
      <c:valAx>
        <c:axId val="9580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1.3223999999999996E-2</c:v>
              </c:pt>
              <c:pt idx="1">
                <c:v>-4.8038461538461533E-3</c:v>
              </c:pt>
              <c:pt idx="2">
                <c:v>1.1720833333333333E-2</c:v>
              </c:pt>
              <c:pt idx="3">
                <c:v>2.1135999999999999E-2</c:v>
              </c:pt>
              <c:pt idx="4">
                <c:v>2.839999999999991E-4</c:v>
              </c:pt>
              <c:pt idx="5">
                <c:v>-4.4833333333333331E-3</c:v>
              </c:pt>
              <c:pt idx="6">
                <c:v>8.5839999999999996E-3</c:v>
              </c:pt>
              <c:pt idx="7">
                <c:v>-5.8800000000000007E-3</c:v>
              </c:pt>
              <c:pt idx="8">
                <c:v>-1.0652E-2</c:v>
              </c:pt>
              <c:pt idx="9">
                <c:v>-8.5040000000000011E-3</c:v>
              </c:pt>
              <c:pt idx="10">
                <c:v>3.1972000000000007E-2</c:v>
              </c:pt>
              <c:pt idx="11">
                <c:v>1.6960000000000003E-2</c:v>
              </c:pt>
            </c:numLit>
          </c:val>
          <c:extLst>
            <c:ext xmlns:c16="http://schemas.microsoft.com/office/drawing/2014/chart" uri="{C3380CC4-5D6E-409C-BE32-E72D297353CC}">
              <c16:uniqueId val="{00000000-D46A-4743-A08A-A9302CBAC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10528"/>
        <c:axId val="958009440"/>
      </c:barChart>
      <c:catAx>
        <c:axId val="95801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09440"/>
        <c:crosses val="autoZero"/>
        <c:auto val="1"/>
        <c:lblAlgn val="ctr"/>
        <c:lblOffset val="100"/>
        <c:noMultiLvlLbl val="0"/>
      </c:catAx>
      <c:valAx>
        <c:axId val="9580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1.0095999999999996E-2</c:v>
              </c:pt>
              <c:pt idx="1">
                <c:v>1.7950000000000001E-2</c:v>
              </c:pt>
              <c:pt idx="2">
                <c:v>6.5208333333333359E-3</c:v>
              </c:pt>
              <c:pt idx="3">
                <c:v>2.8296000000000005E-2</c:v>
              </c:pt>
              <c:pt idx="4">
                <c:v>5.2439999999999987E-3</c:v>
              </c:pt>
              <c:pt idx="5">
                <c:v>3.7791666666666651E-3</c:v>
              </c:pt>
              <c:pt idx="6">
                <c:v>4.9039999999999995E-3</c:v>
              </c:pt>
              <c:pt idx="7">
                <c:v>5.5600000000000007E-3</c:v>
              </c:pt>
              <c:pt idx="8">
                <c:v>-5.9800000000000009E-3</c:v>
              </c:pt>
              <c:pt idx="9">
                <c:v>-2.2288000000000002E-2</c:v>
              </c:pt>
              <c:pt idx="10">
                <c:v>3.4164000000000014E-2</c:v>
              </c:pt>
              <c:pt idx="11">
                <c:v>9.7600000000000013E-3</c:v>
              </c:pt>
            </c:numLit>
          </c:val>
          <c:extLst>
            <c:ext xmlns:c16="http://schemas.microsoft.com/office/drawing/2014/chart" uri="{C3380CC4-5D6E-409C-BE32-E72D297353CC}">
              <c16:uniqueId val="{00000000-CA22-4460-9C39-A6EF54650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09984"/>
        <c:axId val="958011616"/>
      </c:barChart>
      <c:catAx>
        <c:axId val="95800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1616"/>
        <c:crosses val="autoZero"/>
        <c:auto val="1"/>
        <c:lblAlgn val="ctr"/>
        <c:lblOffset val="100"/>
        <c:noMultiLvlLbl val="0"/>
      </c:catAx>
      <c:valAx>
        <c:axId val="9580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0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2.3651999999999996E-2</c:v>
              </c:pt>
              <c:pt idx="1">
                <c:v>2.8723076923076921E-2</c:v>
              </c:pt>
              <c:pt idx="2">
                <c:v>1.3145833333333332E-2</c:v>
              </c:pt>
              <c:pt idx="3">
                <c:v>3.6204E-2</c:v>
              </c:pt>
              <c:pt idx="4">
                <c:v>5.9560000000000004E-3</c:v>
              </c:pt>
              <c:pt idx="5">
                <c:v>-5.4583333333333341E-3</c:v>
              </c:pt>
              <c:pt idx="6">
                <c:v>2.6400000000000013E-3</c:v>
              </c:pt>
              <c:pt idx="7">
                <c:v>-1.8039999999999994E-3</c:v>
              </c:pt>
              <c:pt idx="8">
                <c:v>-1.1148E-2</c:v>
              </c:pt>
              <c:pt idx="9">
                <c:v>-2.0724000000000006E-2</c:v>
              </c:pt>
              <c:pt idx="10">
                <c:v>1.7683999999999998E-2</c:v>
              </c:pt>
              <c:pt idx="11">
                <c:v>-3.4639999999999988E-3</c:v>
              </c:pt>
            </c:numLit>
          </c:val>
          <c:extLst>
            <c:ext xmlns:c16="http://schemas.microsoft.com/office/drawing/2014/chart" uri="{C3380CC4-5D6E-409C-BE32-E72D297353CC}">
              <c16:uniqueId val="{00000000-882B-42AD-8889-1170C8C90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2496"/>
        <c:axId val="1111144672"/>
      </c:barChart>
      <c:catAx>
        <c:axId val="111114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4672"/>
        <c:crosses val="autoZero"/>
        <c:auto val="1"/>
        <c:lblAlgn val="ctr"/>
        <c:lblOffset val="100"/>
        <c:noMultiLvlLbl val="0"/>
      </c:catAx>
      <c:valAx>
        <c:axId val="11111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9.1807692307692319E-3</c:v>
              </c:pt>
              <c:pt idx="1">
                <c:v>-4.273076923076922E-3</c:v>
              </c:pt>
              <c:pt idx="2">
                <c:v>9.8875000000000005E-3</c:v>
              </c:pt>
              <c:pt idx="3">
                <c:v>2.1440000000000001E-2</c:v>
              </c:pt>
              <c:pt idx="4">
                <c:v>-5.680000000000009E-4</c:v>
              </c:pt>
              <c:pt idx="5">
                <c:v>-4.5333333333333345E-3</c:v>
              </c:pt>
              <c:pt idx="6">
                <c:v>9.2640000000000031E-3</c:v>
              </c:pt>
              <c:pt idx="7">
                <c:v>-6.8720000000000005E-3</c:v>
              </c:pt>
              <c:pt idx="8">
                <c:v>-1.1184000000000003E-2</c:v>
              </c:pt>
              <c:pt idx="9">
                <c:v>-7.7240000000000008E-3</c:v>
              </c:pt>
              <c:pt idx="10">
                <c:v>3.2827999999999996E-2</c:v>
              </c:pt>
              <c:pt idx="11">
                <c:v>1.7308E-2</c:v>
              </c:pt>
            </c:numLit>
          </c:val>
          <c:extLst>
            <c:ext xmlns:c16="http://schemas.microsoft.com/office/drawing/2014/chart" uri="{C3380CC4-5D6E-409C-BE32-E72D297353CC}">
              <c16:uniqueId val="{00000000-E51E-4ADB-AFCA-3DE64F352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5216"/>
        <c:axId val="1111145760"/>
      </c:barChart>
      <c:catAx>
        <c:axId val="111114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5760"/>
        <c:crosses val="autoZero"/>
        <c:auto val="1"/>
        <c:lblAlgn val="ctr"/>
        <c:lblOffset val="100"/>
        <c:noMultiLvlLbl val="0"/>
      </c:catAx>
      <c:valAx>
        <c:axId val="111114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2.901538461538462E-2</c:v>
              </c:pt>
              <c:pt idx="1">
                <c:v>1.616153846153846E-2</c:v>
              </c:pt>
              <c:pt idx="2">
                <c:v>1.0333333333333335E-2</c:v>
              </c:pt>
              <c:pt idx="3">
                <c:v>1.5783999999999992E-2</c:v>
              </c:pt>
              <c:pt idx="4">
                <c:v>9.9200000000000091E-4</c:v>
              </c:pt>
              <c:pt idx="5">
                <c:v>-1.4150000000000003E-2</c:v>
              </c:pt>
              <c:pt idx="6">
                <c:v>-1.2448000000000001E-2</c:v>
              </c:pt>
              <c:pt idx="7">
                <c:v>-1.5675999999999995E-2</c:v>
              </c:pt>
              <c:pt idx="8">
                <c:v>-2.6651999999999999E-2</c:v>
              </c:pt>
              <c:pt idx="9">
                <c:v>-1.9164E-2</c:v>
              </c:pt>
              <c:pt idx="10">
                <c:v>2.3015999999999991E-2</c:v>
              </c:pt>
              <c:pt idx="11">
                <c:v>2.252000000000001E-3</c:v>
              </c:pt>
            </c:numLit>
          </c:val>
          <c:extLst>
            <c:ext xmlns:c16="http://schemas.microsoft.com/office/drawing/2014/chart" uri="{C3380CC4-5D6E-409C-BE32-E72D297353CC}">
              <c16:uniqueId val="{00000000-5524-4A20-957D-918F3EE16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3040"/>
        <c:axId val="1111143584"/>
      </c:barChart>
      <c:catAx>
        <c:axId val="111114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3584"/>
        <c:crosses val="autoZero"/>
        <c:auto val="1"/>
        <c:lblAlgn val="ctr"/>
        <c:lblOffset val="100"/>
        <c:noMultiLvlLbl val="0"/>
      </c:catAx>
      <c:valAx>
        <c:axId val="111114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6.3466666666666671E-3</c:v>
              </c:pt>
              <c:pt idx="1">
                <c:v>2.487500000000001E-3</c:v>
              </c:pt>
              <c:pt idx="2">
                <c:v>2.0678571428571425E-2</c:v>
              </c:pt>
              <c:pt idx="3">
                <c:v>1.7566666666666668E-2</c:v>
              </c:pt>
              <c:pt idx="4">
                <c:v>-6.5933333333333365E-3</c:v>
              </c:pt>
              <c:pt idx="5">
                <c:v>-7.164285714285715E-3</c:v>
              </c:pt>
              <c:pt idx="6">
                <c:v>1.7473333333333334E-2</c:v>
              </c:pt>
              <c:pt idx="7">
                <c:v>-2.3799999999999997E-3</c:v>
              </c:pt>
              <c:pt idx="8">
                <c:v>-8.1866666666666667E-3</c:v>
              </c:pt>
              <c:pt idx="9">
                <c:v>-9.640000000000001E-3</c:v>
              </c:pt>
              <c:pt idx="10">
                <c:v>7.5600000000000025E-3</c:v>
              </c:pt>
              <c:pt idx="11">
                <c:v>2.2540000000000001E-2</c:v>
              </c:pt>
            </c:numLit>
          </c:val>
          <c:extLst>
            <c:ext xmlns:c16="http://schemas.microsoft.com/office/drawing/2014/chart" uri="{C3380CC4-5D6E-409C-BE32-E72D297353CC}">
              <c16:uniqueId val="{00000000-1FF4-499F-824F-8E29998C8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4128"/>
        <c:axId val="1115792544"/>
      </c:barChart>
      <c:catAx>
        <c:axId val="111114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2544"/>
        <c:crosses val="autoZero"/>
        <c:auto val="1"/>
        <c:lblAlgn val="ctr"/>
        <c:lblOffset val="100"/>
        <c:noMultiLvlLbl val="0"/>
      </c:catAx>
      <c:valAx>
        <c:axId val="111579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2.2908333333333329E-2</c:v>
              </c:pt>
              <c:pt idx="1">
                <c:v>1.0780000000000001E-2</c:v>
              </c:pt>
              <c:pt idx="2">
                <c:v>1.114782608695652E-2</c:v>
              </c:pt>
              <c:pt idx="3">
                <c:v>2.98625E-2</c:v>
              </c:pt>
              <c:pt idx="4">
                <c:v>3.725E-3</c:v>
              </c:pt>
              <c:pt idx="5">
                <c:v>-2.6282608695652177E-2</c:v>
              </c:pt>
              <c:pt idx="6">
                <c:v>-5.883333333333335E-3</c:v>
              </c:pt>
              <c:pt idx="7">
                <c:v>-2.0445833333333333E-2</c:v>
              </c:pt>
              <c:pt idx="8">
                <c:v>-2.4649999999999998E-2</c:v>
              </c:pt>
              <c:pt idx="9">
                <c:v>-1.7037500000000004E-2</c:v>
              </c:pt>
              <c:pt idx="10">
                <c:v>2.1550000000000003E-2</c:v>
              </c:pt>
              <c:pt idx="11">
                <c:v>1.4129166666666667E-2</c:v>
              </c:pt>
            </c:numLit>
          </c:val>
          <c:extLst>
            <c:ext xmlns:c16="http://schemas.microsoft.com/office/drawing/2014/chart" uri="{C3380CC4-5D6E-409C-BE32-E72D297353CC}">
              <c16:uniqueId val="{00000000-BF99-4659-9C2B-F0DF0EE2D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2000"/>
        <c:axId val="1115791456"/>
      </c:barChart>
      <c:catAx>
        <c:axId val="11157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1456"/>
        <c:crosses val="autoZero"/>
        <c:auto val="1"/>
        <c:lblAlgn val="ctr"/>
        <c:lblOffset val="100"/>
        <c:noMultiLvlLbl val="0"/>
      </c:catAx>
      <c:valAx>
        <c:axId val="11157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3.3475000000000005E-2</c:v>
              </c:pt>
              <c:pt idx="1">
                <c:v>2.0343999999999998E-2</c:v>
              </c:pt>
              <c:pt idx="2">
                <c:v>2.0486956521739132E-2</c:v>
              </c:pt>
              <c:pt idx="3">
                <c:v>3.8945833333333332E-2</c:v>
              </c:pt>
              <c:pt idx="4">
                <c:v>1.2437499999999999E-2</c:v>
              </c:pt>
              <c:pt idx="5">
                <c:v>-1.8382608695652173E-2</c:v>
              </c:pt>
              <c:pt idx="6">
                <c:v>7.5500000000000003E-3</c:v>
              </c:pt>
              <c:pt idx="7">
                <c:v>-2.4633333333333333E-2</c:v>
              </c:pt>
              <c:pt idx="8">
                <c:v>-2.1333333333333329E-2</c:v>
              </c:pt>
              <c:pt idx="9">
                <c:v>-1.0733333333333331E-2</c:v>
              </c:pt>
              <c:pt idx="10">
                <c:v>1.6150000000000001E-2</c:v>
              </c:pt>
              <c:pt idx="11">
                <c:v>6.7041666666666664E-3</c:v>
              </c:pt>
            </c:numLit>
          </c:val>
          <c:extLst>
            <c:ext xmlns:c16="http://schemas.microsoft.com/office/drawing/2014/chart" uri="{C3380CC4-5D6E-409C-BE32-E72D297353CC}">
              <c16:uniqueId val="{00000000-BA30-433A-BBCB-73B30851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3088"/>
        <c:axId val="1115793632"/>
      </c:barChart>
      <c:catAx>
        <c:axId val="111579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3632"/>
        <c:crosses val="autoZero"/>
        <c:auto val="1"/>
        <c:lblAlgn val="ctr"/>
        <c:lblOffset val="100"/>
        <c:noMultiLvlLbl val="0"/>
      </c:catAx>
      <c:valAx>
        <c:axId val="11157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0.68</c:v>
              </c:pt>
              <c:pt idx="1">
                <c:v>0.56000000000000005</c:v>
              </c:pt>
              <c:pt idx="2">
                <c:v>0.52</c:v>
              </c:pt>
              <c:pt idx="3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6E6E-4FA4-81FE-C641E9C93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4176"/>
        <c:axId val="1115794720"/>
      </c:barChart>
      <c:catAx>
        <c:axId val="111579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4720"/>
        <c:crosses val="autoZero"/>
        <c:auto val="1"/>
        <c:lblAlgn val="ctr"/>
        <c:lblOffset val="100"/>
        <c:noMultiLvlLbl val="0"/>
      </c:catAx>
      <c:valAx>
        <c:axId val="111579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0.66666666666666663</c:v>
              </c:pt>
              <c:pt idx="1">
                <c:v>0.48</c:v>
              </c:pt>
              <c:pt idx="2">
                <c:v>0.52</c:v>
              </c:pt>
              <c:pt idx="3">
                <c:v>0.64</c:v>
              </c:pt>
            </c:numLit>
          </c:val>
          <c:extLst>
            <c:ext xmlns:c16="http://schemas.microsoft.com/office/drawing/2014/chart" uri="{C3380CC4-5D6E-409C-BE32-E72D297353CC}">
              <c16:uniqueId val="{00000000-A64A-4820-B874-76BE3B982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71744"/>
        <c:axId val="-1542672288"/>
      </c:barChart>
      <c:catAx>
        <c:axId val="-154267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2288"/>
        <c:crosses val="autoZero"/>
        <c:auto val="1"/>
        <c:lblAlgn val="ctr"/>
        <c:lblOffset val="100"/>
        <c:noMultiLvlLbl val="0"/>
      </c:catAx>
      <c:valAx>
        <c:axId val="-15426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0.66666666666666663</c:v>
              </c:pt>
              <c:pt idx="1">
                <c:v>0.56000000000000005</c:v>
              </c:pt>
              <c:pt idx="2">
                <c:v>0.48</c:v>
              </c:pt>
              <c:pt idx="3">
                <c:v>0.48</c:v>
              </c:pt>
            </c:numLit>
          </c:val>
          <c:extLst>
            <c:ext xmlns:c16="http://schemas.microsoft.com/office/drawing/2014/chart" uri="{C3380CC4-5D6E-409C-BE32-E72D297353CC}">
              <c16:uniqueId val="{00000000-0451-48DB-9317-C5A056155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71200"/>
        <c:axId val="-1542670656"/>
      </c:barChart>
      <c:catAx>
        <c:axId val="-15426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0656"/>
        <c:crosses val="autoZero"/>
        <c:auto val="1"/>
        <c:lblAlgn val="ctr"/>
        <c:lblOffset val="100"/>
        <c:noMultiLvlLbl val="0"/>
      </c:catAx>
      <c:valAx>
        <c:axId val="-154267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0.75</c:v>
              </c:pt>
              <c:pt idx="1">
                <c:v>0.68</c:v>
              </c:pt>
              <c:pt idx="2">
                <c:v>0.48</c:v>
              </c:pt>
              <c:pt idx="3">
                <c:v>0.44</c:v>
              </c:pt>
            </c:numLit>
          </c:val>
          <c:extLst>
            <c:ext xmlns:c16="http://schemas.microsoft.com/office/drawing/2014/chart" uri="{C3380CC4-5D6E-409C-BE32-E72D297353CC}">
              <c16:uniqueId val="{00000000-8175-4C3F-BBF0-2784661AC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69024"/>
        <c:axId val="-1542670112"/>
      </c:barChart>
      <c:catAx>
        <c:axId val="-15426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0112"/>
        <c:crosses val="autoZero"/>
        <c:auto val="1"/>
        <c:lblAlgn val="ctr"/>
        <c:lblOffset val="100"/>
        <c:noMultiLvlLbl val="0"/>
      </c:catAx>
      <c:valAx>
        <c:axId val="-154267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6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</c:v>
              </c:pt>
              <c:pt idx="1">
                <c:v>0.48</c:v>
              </c:pt>
              <c:pt idx="2">
                <c:v>0.52</c:v>
              </c:pt>
              <c:pt idx="3">
                <c:v>0.64</c:v>
              </c:pt>
            </c:numLit>
          </c:val>
          <c:extLst>
            <c:ext xmlns:c16="http://schemas.microsoft.com/office/drawing/2014/chart" uri="{C3380CC4-5D6E-409C-BE32-E72D297353CC}">
              <c16:uniqueId val="{00000000-90DB-4471-9059-F9664C771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69568"/>
        <c:axId val="1967706080"/>
      </c:barChart>
      <c:catAx>
        <c:axId val="-154266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6080"/>
        <c:crosses val="autoZero"/>
        <c:auto val="1"/>
        <c:lblAlgn val="ctr"/>
        <c:lblOffset val="100"/>
        <c:noMultiLvlLbl val="0"/>
      </c:catAx>
      <c:valAx>
        <c:axId val="196770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6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0.64</c:v>
              </c:pt>
              <c:pt idx="1">
                <c:v>0.4</c:v>
              </c:pt>
              <c:pt idx="2">
                <c:v>0.44</c:v>
              </c:pt>
              <c:pt idx="3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685D-4F54-A688-A18F60081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4992"/>
        <c:axId val="1967710432"/>
      </c:barChart>
      <c:catAx>
        <c:axId val="19677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0432"/>
        <c:crosses val="autoZero"/>
        <c:auto val="1"/>
        <c:lblAlgn val="ctr"/>
        <c:lblOffset val="100"/>
        <c:noMultiLvlLbl val="0"/>
      </c:catAx>
      <c:valAx>
        <c:axId val="196771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0.5714285714285714</c:v>
              </c:pt>
              <c:pt idx="1">
                <c:v>0.33333333333333331</c:v>
              </c:pt>
              <c:pt idx="2">
                <c:v>0.53333333333333333</c:v>
              </c:pt>
              <c:pt idx="3">
                <c:v>0.53333333333333333</c:v>
              </c:pt>
            </c:numLit>
          </c:val>
          <c:extLst>
            <c:ext xmlns:c16="http://schemas.microsoft.com/office/drawing/2014/chart" uri="{C3380CC4-5D6E-409C-BE32-E72D297353CC}">
              <c16:uniqueId val="{00000000-45AF-4500-88F2-AC1F3F2C6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12064"/>
        <c:axId val="1967709888"/>
      </c:barChart>
      <c:catAx>
        <c:axId val="196771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9888"/>
        <c:crosses val="autoZero"/>
        <c:auto val="1"/>
        <c:lblAlgn val="ctr"/>
        <c:lblOffset val="100"/>
        <c:noMultiLvlLbl val="0"/>
      </c:catAx>
      <c:valAx>
        <c:axId val="19677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0.69565217391304346</c:v>
              </c:pt>
              <c:pt idx="1">
                <c:v>0.5</c:v>
              </c:pt>
              <c:pt idx="2">
                <c:v>0.33333333333333331</c:v>
              </c:pt>
              <c:pt idx="3">
                <c:v>0.5</c:v>
              </c:pt>
            </c:numLit>
          </c:val>
          <c:extLst>
            <c:ext xmlns:c16="http://schemas.microsoft.com/office/drawing/2014/chart" uri="{C3380CC4-5D6E-409C-BE32-E72D297353CC}">
              <c16:uniqueId val="{00000000-9F91-4481-B422-4531A67EE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7712"/>
        <c:axId val="1967710976"/>
      </c:barChart>
      <c:catAx>
        <c:axId val="196770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0976"/>
        <c:crosses val="autoZero"/>
        <c:auto val="1"/>
        <c:lblAlgn val="ctr"/>
        <c:lblOffset val="100"/>
        <c:noMultiLvlLbl val="0"/>
      </c:catAx>
      <c:valAx>
        <c:axId val="196771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0.69565217391304346</c:v>
              </c:pt>
              <c:pt idx="1">
                <c:v>0.5</c:v>
              </c:pt>
              <c:pt idx="2">
                <c:v>0.33333333333333331</c:v>
              </c:pt>
              <c:pt idx="3">
                <c:v>0.54166666666666663</c:v>
              </c:pt>
            </c:numLit>
          </c:val>
          <c:extLst>
            <c:ext xmlns:c16="http://schemas.microsoft.com/office/drawing/2014/chart" uri="{C3380CC4-5D6E-409C-BE32-E72D297353CC}">
              <c16:uniqueId val="{00000000-802D-42C6-85E2-075DEFFED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8256"/>
        <c:axId val="1967705536"/>
      </c:barChart>
      <c:catAx>
        <c:axId val="196770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5536"/>
        <c:crosses val="autoZero"/>
        <c:auto val="1"/>
        <c:lblAlgn val="ctr"/>
        <c:lblOffset val="100"/>
        <c:noMultiLvlLbl val="0"/>
      </c:catAx>
      <c:valAx>
        <c:axId val="19677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1.6015999999999999E-2</c:v>
              </c:pt>
              <c:pt idx="1">
                <c:v>2.0624000000000003E-2</c:v>
              </c:pt>
              <c:pt idx="2">
                <c:v>-1.704000000000003E-3</c:v>
              </c:pt>
              <c:pt idx="3">
                <c:v>2.8375999999999992E-2</c:v>
              </c:pt>
            </c:numLit>
          </c:val>
          <c:extLst>
            <c:ext xmlns:c16="http://schemas.microsoft.com/office/drawing/2014/chart" uri="{C3380CC4-5D6E-409C-BE32-E72D297353CC}">
              <c16:uniqueId val="{00000000-977A-4C7E-B31B-F9D35AD84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8800"/>
        <c:axId val="1967709344"/>
      </c:barChart>
      <c:catAx>
        <c:axId val="196770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9344"/>
        <c:crosses val="autoZero"/>
        <c:auto val="1"/>
        <c:lblAlgn val="ctr"/>
        <c:lblOffset val="100"/>
        <c:noMultiLvlLbl val="0"/>
      </c:catAx>
      <c:valAx>
        <c:axId val="196770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2.4791666666666674E-2</c:v>
              </c:pt>
              <c:pt idx="1">
                <c:v>1.5548000000000001E-2</c:v>
              </c:pt>
              <c:pt idx="2">
                <c:v>-1.4960000000000023E-3</c:v>
              </c:pt>
              <c:pt idx="3">
                <c:v>3.3943999999999995E-2</c:v>
              </c:pt>
            </c:numLit>
          </c:val>
          <c:extLst>
            <c:ext xmlns:c16="http://schemas.microsoft.com/office/drawing/2014/chart" uri="{C3380CC4-5D6E-409C-BE32-E72D297353CC}">
              <c16:uniqueId val="{00000000-F509-418E-A866-1500455A4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11520"/>
        <c:axId val="1967706624"/>
      </c:barChart>
      <c:catAx>
        <c:axId val="196771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6624"/>
        <c:crosses val="autoZero"/>
        <c:auto val="1"/>
        <c:lblAlgn val="ctr"/>
        <c:lblOffset val="100"/>
        <c:noMultiLvlLbl val="0"/>
      </c:catAx>
      <c:valAx>
        <c:axId val="196770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3.5012500000000002E-2</c:v>
              </c:pt>
              <c:pt idx="1">
                <c:v>4.0511999999999999E-2</c:v>
              </c:pt>
              <c:pt idx="2">
                <c:v>4.1559999999999974E-3</c:v>
              </c:pt>
              <c:pt idx="3">
                <c:v>9.1360000000000018E-3</c:v>
              </c:pt>
            </c:numLit>
          </c:val>
          <c:extLst>
            <c:ext xmlns:c16="http://schemas.microsoft.com/office/drawing/2014/chart" uri="{C3380CC4-5D6E-409C-BE32-E72D297353CC}">
              <c16:uniqueId val="{00000000-B12E-4789-A880-D9BCEA3C1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7168"/>
        <c:axId val="962889408"/>
      </c:barChart>
      <c:catAx>
        <c:axId val="196770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9408"/>
        <c:crosses val="autoZero"/>
        <c:auto val="1"/>
        <c:lblAlgn val="ctr"/>
        <c:lblOffset val="100"/>
        <c:noMultiLvlLbl val="0"/>
      </c:catAx>
      <c:valAx>
        <c:axId val="96288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6.2600000000000003E-2</c:v>
              </c:pt>
              <c:pt idx="1">
                <c:v>3.7644000000000004E-2</c:v>
              </c:pt>
              <c:pt idx="2">
                <c:v>-9.2800000000000018E-3</c:v>
              </c:pt>
              <c:pt idx="3">
                <c:v>-1.6308E-2</c:v>
              </c:pt>
            </c:numLit>
          </c:val>
          <c:extLst>
            <c:ext xmlns:c16="http://schemas.microsoft.com/office/drawing/2014/chart" uri="{C3380CC4-5D6E-409C-BE32-E72D297353CC}">
              <c16:uniqueId val="{00000000-089C-4247-81AE-257723B79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89952"/>
        <c:axId val="962892128"/>
      </c:barChart>
      <c:catAx>
        <c:axId val="96288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2128"/>
        <c:crosses val="autoZero"/>
        <c:auto val="1"/>
        <c:lblAlgn val="ctr"/>
        <c:lblOffset val="100"/>
        <c:noMultiLvlLbl val="0"/>
      </c:catAx>
      <c:valAx>
        <c:axId val="96289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1.6676000000000003E-2</c:v>
              </c:pt>
              <c:pt idx="1">
                <c:v>1.5604E-2</c:v>
              </c:pt>
              <c:pt idx="2">
                <c:v>-2.3719999999999948E-3</c:v>
              </c:pt>
              <c:pt idx="3">
                <c:v>3.5891999999999993E-2</c:v>
              </c:pt>
            </c:numLit>
          </c:val>
          <c:extLst>
            <c:ext xmlns:c16="http://schemas.microsoft.com/office/drawing/2014/chart" uri="{C3380CC4-5D6E-409C-BE32-E72D297353CC}">
              <c16:uniqueId val="{00000000-302E-46B3-8653-F292D59B5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1040"/>
        <c:axId val="962891584"/>
      </c:barChart>
      <c:catAx>
        <c:axId val="96289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1584"/>
        <c:crosses val="autoZero"/>
        <c:auto val="1"/>
        <c:lblAlgn val="ctr"/>
        <c:lblOffset val="100"/>
        <c:noMultiLvlLbl val="0"/>
      </c:catAx>
      <c:valAx>
        <c:axId val="96289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5.3679999999999992E-2</c:v>
              </c:pt>
              <c:pt idx="1">
                <c:v>-1.4560000000000037E-3</c:v>
              </c:pt>
              <c:pt idx="2">
                <c:v>-5.1520000000000003E-2</c:v>
              </c:pt>
              <c:pt idx="3">
                <c:v>3.4919999999999968E-3</c:v>
              </c:pt>
            </c:numLit>
          </c:val>
          <c:extLst>
            <c:ext xmlns:c16="http://schemas.microsoft.com/office/drawing/2014/chart" uri="{C3380CC4-5D6E-409C-BE32-E72D297353CC}">
              <c16:uniqueId val="{00000000-E3B8-4ECD-9856-829BFCB1C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4304"/>
        <c:axId val="962892672"/>
      </c:barChart>
      <c:catAx>
        <c:axId val="96289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2672"/>
        <c:crosses val="autoZero"/>
        <c:auto val="1"/>
        <c:lblAlgn val="ctr"/>
        <c:lblOffset val="100"/>
        <c:noMultiLvlLbl val="0"/>
      </c:catAx>
      <c:valAx>
        <c:axId val="9628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3.8100000000000002E-2</c:v>
              </c:pt>
              <c:pt idx="1">
                <c:v>-9.0466666666666733E-3</c:v>
              </c:pt>
              <c:pt idx="2">
                <c:v>-2.3133333333333335E-3</c:v>
              </c:pt>
              <c:pt idx="3">
                <c:v>1.9073333333333328E-2</c:v>
              </c:pt>
            </c:numLit>
          </c:val>
          <c:extLst>
            <c:ext xmlns:c16="http://schemas.microsoft.com/office/drawing/2014/chart" uri="{C3380CC4-5D6E-409C-BE32-E72D297353CC}">
              <c16:uniqueId val="{00000000-2A94-4C36-9973-ABD766564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3216"/>
        <c:axId val="962893760"/>
      </c:barChart>
      <c:catAx>
        <c:axId val="96289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3760"/>
        <c:crosses val="autoZero"/>
        <c:auto val="1"/>
        <c:lblAlgn val="ctr"/>
        <c:lblOffset val="100"/>
        <c:noMultiLvlLbl val="0"/>
      </c:catAx>
      <c:valAx>
        <c:axId val="9628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5.1108695652173901E-2</c:v>
              </c:pt>
              <c:pt idx="1">
                <c:v>1.1333333333333331E-2</c:v>
              </c:pt>
              <c:pt idx="2">
                <c:v>-5.0066666666666669E-2</c:v>
              </c:pt>
              <c:pt idx="3">
                <c:v>7.3791666666666641E-3</c:v>
              </c:pt>
            </c:numLit>
          </c:val>
          <c:extLst>
            <c:ext xmlns:c16="http://schemas.microsoft.com/office/drawing/2014/chart" uri="{C3380CC4-5D6E-409C-BE32-E72D297353CC}">
              <c16:uniqueId val="{00000000-8B43-4E95-811A-2367C221C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0496"/>
        <c:axId val="962894848"/>
      </c:barChart>
      <c:catAx>
        <c:axId val="96289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4848"/>
        <c:crosses val="autoZero"/>
        <c:auto val="1"/>
        <c:lblAlgn val="ctr"/>
        <c:lblOffset val="100"/>
        <c:noMultiLvlLbl val="0"/>
      </c:catAx>
      <c:valAx>
        <c:axId val="9628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7.2065217391304365E-2</c:v>
              </c:pt>
              <c:pt idx="1">
                <c:v>3.3966666666666673E-2</c:v>
              </c:pt>
              <c:pt idx="2">
                <c:v>-3.7458333333333316E-2</c:v>
              </c:pt>
              <c:pt idx="3">
                <c:v>2.1541666666666649E-3</c:v>
              </c:pt>
            </c:numLit>
          </c:val>
          <c:extLst>
            <c:ext xmlns:c16="http://schemas.microsoft.com/office/drawing/2014/chart" uri="{C3380CC4-5D6E-409C-BE32-E72D297353CC}">
              <c16:uniqueId val="{00000000-2B3F-48E2-AD58-FBFAC060C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87776"/>
        <c:axId val="962888320"/>
      </c:barChart>
      <c:catAx>
        <c:axId val="96288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8320"/>
        <c:crosses val="autoZero"/>
        <c:auto val="1"/>
        <c:lblAlgn val="ctr"/>
        <c:lblOffset val="100"/>
        <c:noMultiLvlLbl val="0"/>
      </c:catAx>
      <c:valAx>
        <c:axId val="9628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OECD</a:t>
            </a:r>
            <a:r>
              <a:rPr lang="en-US" altLang="ko-KR" baseline="0"/>
              <a:t> </a:t>
            </a:r>
            <a:r>
              <a:rPr lang="ko-KR" altLang="en-US" baseline="0"/>
              <a:t>경기선행 </a:t>
            </a:r>
            <a:r>
              <a:rPr lang="en-US" altLang="ko-KR" baseline="0"/>
              <a:t>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4354130326950688E-2"/>
          <c:y val="0.10386679146654772"/>
          <c:w val="0.90730210663591959"/>
          <c:h val="0.78774010260673499"/>
        </c:manualLayout>
      </c:layout>
      <c:lineChart>
        <c:grouping val="standard"/>
        <c:varyColors val="0"/>
        <c:ser>
          <c:idx val="0"/>
          <c:order val="0"/>
          <c:tx>
            <c:strRef>
              <c:f>'OECD YOY'!$B$17</c:f>
              <c:strCache>
                <c:ptCount val="1"/>
                <c:pt idx="0">
                  <c:v>G7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YOY'!$B$18:$B$113</c:f>
              <c:numCache>
                <c:formatCode>0.000%</c:formatCode>
                <c:ptCount val="96"/>
                <c:pt idx="0">
                  <c:v>7.358588365480534E-3</c:v>
                </c:pt>
                <c:pt idx="1">
                  <c:v>6.5572527385908685E-3</c:v>
                </c:pt>
                <c:pt idx="2">
                  <c:v>5.7210086044447994E-3</c:v>
                </c:pt>
                <c:pt idx="3">
                  <c:v>4.8171448103087045E-3</c:v>
                </c:pt>
                <c:pt idx="4">
                  <c:v>3.773077478572251E-3</c:v>
                </c:pt>
                <c:pt idx="5">
                  <c:v>2.5009632491812539E-3</c:v>
                </c:pt>
                <c:pt idx="6">
                  <c:v>9.5729965867596967E-4</c:v>
                </c:pt>
                <c:pt idx="7">
                  <c:v>-9.7556415651978146E-4</c:v>
                </c:pt>
                <c:pt idx="8">
                  <c:v>-3.2951024601974854E-3</c:v>
                </c:pt>
                <c:pt idx="9">
                  <c:v>-5.8711970768131616E-3</c:v>
                </c:pt>
                <c:pt idx="10">
                  <c:v>-8.4660158722913437E-3</c:v>
                </c:pt>
                <c:pt idx="11">
                  <c:v>-1.0870753170400871E-2</c:v>
                </c:pt>
                <c:pt idx="12">
                  <c:v>-1.2871896709156005E-2</c:v>
                </c:pt>
                <c:pt idx="13">
                  <c:v>-1.4379161417139352E-2</c:v>
                </c:pt>
                <c:pt idx="14">
                  <c:v>-1.5325842562961767E-2</c:v>
                </c:pt>
                <c:pt idx="15">
                  <c:v>-1.5924005264133845E-2</c:v>
                </c:pt>
                <c:pt idx="16">
                  <c:v>-1.6269227372454953E-2</c:v>
                </c:pt>
                <c:pt idx="17">
                  <c:v>-1.6362291133897755E-2</c:v>
                </c:pt>
                <c:pt idx="18">
                  <c:v>-1.6102446434536399E-2</c:v>
                </c:pt>
                <c:pt idx="19">
                  <c:v>-1.5394523741502741E-2</c:v>
                </c:pt>
                <c:pt idx="20">
                  <c:v>-1.4008809342928252E-2</c:v>
                </c:pt>
                <c:pt idx="21">
                  <c:v>-1.198962851837837E-2</c:v>
                </c:pt>
                <c:pt idx="22">
                  <c:v>-9.5797698701640677E-3</c:v>
                </c:pt>
                <c:pt idx="23">
                  <c:v>-7.1606765088160218E-3</c:v>
                </c:pt>
                <c:pt idx="24">
                  <c:v>-5.1661012482325797E-3</c:v>
                </c:pt>
                <c:pt idx="25">
                  <c:v>-3.8827735677325892E-3</c:v>
                </c:pt>
                <c:pt idx="26">
                  <c:v>-2.357596843570009E-2</c:v>
                </c:pt>
                <c:pt idx="27">
                  <c:v>-6.9449406380057699E-2</c:v>
                </c:pt>
                <c:pt idx="28">
                  <c:v>-5.0591427145952217E-2</c:v>
                </c:pt>
                <c:pt idx="29">
                  <c:v>-2.510638100240159E-2</c:v>
                </c:pt>
                <c:pt idx="30">
                  <c:v>-9.3697425922651956E-3</c:v>
                </c:pt>
                <c:pt idx="31">
                  <c:v>-3.2628812229952286E-3</c:v>
                </c:pt>
                <c:pt idx="32">
                  <c:v>-9.1650464703452172E-4</c:v>
                </c:pt>
                <c:pt idx="33">
                  <c:v>1.5105091179981045E-3</c:v>
                </c:pt>
                <c:pt idx="34">
                  <c:v>4.0220703608697672E-3</c:v>
                </c:pt>
                <c:pt idx="35">
                  <c:v>7.7569545475386636E-3</c:v>
                </c:pt>
                <c:pt idx="36">
                  <c:v>1.0345978844851444E-2</c:v>
                </c:pt>
                <c:pt idx="37">
                  <c:v>1.4316359674545254E-2</c:v>
                </c:pt>
                <c:pt idx="38">
                  <c:v>4.0321523760973532E-2</c:v>
                </c:pt>
                <c:pt idx="39">
                  <c:v>9.6402683537454736E-2</c:v>
                </c:pt>
                <c:pt idx="40">
                  <c:v>7.8122992908689071E-2</c:v>
                </c:pt>
                <c:pt idx="41">
                  <c:v>5.2610920575635767E-2</c:v>
                </c:pt>
                <c:pt idx="42">
                  <c:v>3.727144579468411E-2</c:v>
                </c:pt>
                <c:pt idx="43">
                  <c:v>3.1358809386443864E-2</c:v>
                </c:pt>
                <c:pt idx="44">
                  <c:v>2.8629192068079456E-2</c:v>
                </c:pt>
                <c:pt idx="45">
                  <c:v>2.5243739988741298E-2</c:v>
                </c:pt>
                <c:pt idx="46">
                  <c:v>2.1301943432119552E-2</c:v>
                </c:pt>
                <c:pt idx="47">
                  <c:v>1.5712966930597094E-2</c:v>
                </c:pt>
                <c:pt idx="48">
                  <c:v>1.0978568459423022E-2</c:v>
                </c:pt>
                <c:pt idx="49">
                  <c:v>4.6942468600505993E-3</c:v>
                </c:pt>
                <c:pt idx="50">
                  <c:v>-2.5234479457091341E-3</c:v>
                </c:pt>
                <c:pt idx="51">
                  <c:v>-9.1625855164770842E-3</c:v>
                </c:pt>
                <c:pt idx="52">
                  <c:v>-1.4890566193926813E-2</c:v>
                </c:pt>
                <c:pt idx="53">
                  <c:v>-1.9847242624089545E-2</c:v>
                </c:pt>
                <c:pt idx="54">
                  <c:v>-2.3298650956838252E-2</c:v>
                </c:pt>
                <c:pt idx="55">
                  <c:v>-2.5477299213721327E-2</c:v>
                </c:pt>
                <c:pt idx="56">
                  <c:v>-2.6743090019638704E-2</c:v>
                </c:pt>
                <c:pt idx="57">
                  <c:v>-2.7164848883436843E-2</c:v>
                </c:pt>
                <c:pt idx="58">
                  <c:v>-2.6786075005148624E-2</c:v>
                </c:pt>
                <c:pt idx="59">
                  <c:v>-2.5541921664928524E-2</c:v>
                </c:pt>
                <c:pt idx="60">
                  <c:v>-2.3497487039846554E-2</c:v>
                </c:pt>
                <c:pt idx="61">
                  <c:v>-2.0794867984346266E-2</c:v>
                </c:pt>
                <c:pt idx="62">
                  <c:v>-1.7556595796266117E-2</c:v>
                </c:pt>
                <c:pt idx="63">
                  <c:v>-1.3923608964990453E-2</c:v>
                </c:pt>
                <c:pt idx="64">
                  <c:v>-1.0010171934504264E-2</c:v>
                </c:pt>
                <c:pt idx="65">
                  <c:v>-6.0802404632113172E-3</c:v>
                </c:pt>
                <c:pt idx="66">
                  <c:v>-2.5769957521251108E-3</c:v>
                </c:pt>
                <c:pt idx="67">
                  <c:v>2.4633939756135703E-4</c:v>
                </c:pt>
                <c:pt idx="68">
                  <c:v>2.3823881606448438E-3</c:v>
                </c:pt>
                <c:pt idx="69">
                  <c:v>3.8426720789948021E-3</c:v>
                </c:pt>
                <c:pt idx="70">
                  <c:v>4.8916953162216892E-3</c:v>
                </c:pt>
                <c:pt idx="71">
                  <c:v>5.714702274672856E-3</c:v>
                </c:pt>
                <c:pt idx="72">
                  <c:v>6.4966816679625783E-3</c:v>
                </c:pt>
                <c:pt idx="73">
                  <c:v>7.2917711114979245E-3</c:v>
                </c:pt>
                <c:pt idx="74">
                  <c:v>7.9999215148602865E-3</c:v>
                </c:pt>
                <c:pt idx="75">
                  <c:v>8.3890452993684583E-3</c:v>
                </c:pt>
                <c:pt idx="76">
                  <c:v>8.5157045691577338E-3</c:v>
                </c:pt>
                <c:pt idx="77">
                  <c:v>8.4993900945045109E-3</c:v>
                </c:pt>
                <c:pt idx="78">
                  <c:v>8.6098577758935146E-3</c:v>
                </c:pt>
                <c:pt idx="79">
                  <c:v>8.9336322712507688E-3</c:v>
                </c:pt>
                <c:pt idx="80">
                  <c:v>9.5043821576730192E-3</c:v>
                </c:pt>
                <c:pt idx="81">
                  <c:v>1.0166733624925373E-2</c:v>
                </c:pt>
                <c:pt idx="82">
                  <c:v>1.063714023630391E-2</c:v>
                </c:pt>
                <c:pt idx="83">
                  <c:v>1.0720763238771358E-2</c:v>
                </c:pt>
                <c:pt idx="84">
                  <c:v>1.0381235959496804E-2</c:v>
                </c:pt>
                <c:pt idx="85">
                  <c:v>9.7285206951291947E-3</c:v>
                </c:pt>
                <c:pt idx="86">
                  <c:v>9.0094447107300635E-3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F-4310-8217-8575868895A8}"/>
            </c:ext>
          </c:extLst>
        </c:ser>
        <c:ser>
          <c:idx val="1"/>
          <c:order val="1"/>
          <c:tx>
            <c:strRef>
              <c:f>'OECD YOY'!$C$17</c:f>
              <c:strCache>
                <c:ptCount val="1"/>
                <c:pt idx="0">
                  <c:v>G20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YOY'!$C$18:$C$113</c:f>
              <c:numCache>
                <c:formatCode>0.000%</c:formatCode>
                <c:ptCount val="96"/>
                <c:pt idx="0">
                  <c:v>7.600547135482083E-3</c:v>
                </c:pt>
                <c:pt idx="1">
                  <c:v>6.4558249669821599E-3</c:v>
                </c:pt>
                <c:pt idx="2">
                  <c:v>5.1290491508939606E-3</c:v>
                </c:pt>
                <c:pt idx="3">
                  <c:v>3.5783060956793289E-3</c:v>
                </c:pt>
                <c:pt idx="4">
                  <c:v>1.7878361405847532E-3</c:v>
                </c:pt>
                <c:pt idx="5">
                  <c:v>-2.8960843148673199E-4</c:v>
                </c:pt>
                <c:pt idx="6">
                  <c:v>-2.5973276958460856E-3</c:v>
                </c:pt>
                <c:pt idx="7">
                  <c:v>-5.046124498889637E-3</c:v>
                </c:pt>
                <c:pt idx="8">
                  <c:v>-7.4613248671449028E-3</c:v>
                </c:pt>
                <c:pt idx="9">
                  <c:v>-9.6852060016132668E-3</c:v>
                </c:pt>
                <c:pt idx="10">
                  <c:v>-1.152867391688106E-2</c:v>
                </c:pt>
                <c:pt idx="11">
                  <c:v>-1.2900407832202809E-2</c:v>
                </c:pt>
                <c:pt idx="12">
                  <c:v>-1.374388173604002E-2</c:v>
                </c:pt>
                <c:pt idx="13">
                  <c:v>-1.4054183801197717E-2</c:v>
                </c:pt>
                <c:pt idx="14">
                  <c:v>-1.3890203807408574E-2</c:v>
                </c:pt>
                <c:pt idx="15">
                  <c:v>-1.3417085626771574E-2</c:v>
                </c:pt>
                <c:pt idx="16">
                  <c:v>-1.2757580517835598E-2</c:v>
                </c:pt>
                <c:pt idx="17">
                  <c:v>-1.187738548193451E-2</c:v>
                </c:pt>
                <c:pt idx="18">
                  <c:v>-1.078424823810098E-2</c:v>
                </c:pt>
                <c:pt idx="19">
                  <c:v>-9.4859781353976436E-3</c:v>
                </c:pt>
                <c:pt idx="20">
                  <c:v>-7.9684116148148743E-3</c:v>
                </c:pt>
                <c:pt idx="21">
                  <c:v>-6.2958402752244513E-3</c:v>
                </c:pt>
                <c:pt idx="22">
                  <c:v>-4.6260047524202541E-3</c:v>
                </c:pt>
                <c:pt idx="23">
                  <c:v>-3.1514036915784027E-3</c:v>
                </c:pt>
                <c:pt idx="24">
                  <c:v>-7.9814324591525043E-3</c:v>
                </c:pt>
                <c:pt idx="25">
                  <c:v>-2.8151503890330831E-2</c:v>
                </c:pt>
                <c:pt idx="26">
                  <c:v>-6.1006251268655221E-2</c:v>
                </c:pt>
                <c:pt idx="27">
                  <c:v>-0.10348055954962043</c:v>
                </c:pt>
                <c:pt idx="28">
                  <c:v>-6.0230999836450194E-2</c:v>
                </c:pt>
                <c:pt idx="29">
                  <c:v>-2.5307203528571409E-2</c:v>
                </c:pt>
                <c:pt idx="30">
                  <c:v>-9.8848037733566541E-3</c:v>
                </c:pt>
                <c:pt idx="31">
                  <c:v>-2.2034678836263533E-3</c:v>
                </c:pt>
                <c:pt idx="32">
                  <c:v>5.0440680426913076E-3</c:v>
                </c:pt>
                <c:pt idx="33">
                  <c:v>9.1203324747977099E-3</c:v>
                </c:pt>
                <c:pt idx="34">
                  <c:v>1.1886474621974452E-2</c:v>
                </c:pt>
                <c:pt idx="35">
                  <c:v>1.4766177087510046E-2</c:v>
                </c:pt>
                <c:pt idx="36">
                  <c:v>2.2675951616852652E-2</c:v>
                </c:pt>
                <c:pt idx="37">
                  <c:v>4.6576288562895529E-2</c:v>
                </c:pt>
                <c:pt idx="38">
                  <c:v>8.5912633639647629E-2</c:v>
                </c:pt>
                <c:pt idx="39">
                  <c:v>0.13954576272861274</c:v>
                </c:pt>
                <c:pt idx="40">
                  <c:v>8.822812053802398E-2</c:v>
                </c:pt>
                <c:pt idx="41">
                  <c:v>4.9748130032812421E-2</c:v>
                </c:pt>
                <c:pt idx="42">
                  <c:v>3.2275559309581148E-2</c:v>
                </c:pt>
                <c:pt idx="43">
                  <c:v>2.321018818173104E-2</c:v>
                </c:pt>
                <c:pt idx="44">
                  <c:v>1.4854919332080829E-2</c:v>
                </c:pt>
                <c:pt idx="45">
                  <c:v>9.5491288592897128E-3</c:v>
                </c:pt>
                <c:pt idx="46">
                  <c:v>4.9806005608157289E-3</c:v>
                </c:pt>
                <c:pt idx="47">
                  <c:v>1.6285852460096173E-4</c:v>
                </c:pt>
                <c:pt idx="48">
                  <c:v>-3.7620251508625469E-3</c:v>
                </c:pt>
                <c:pt idx="49">
                  <c:v>-7.9096771641082864E-3</c:v>
                </c:pt>
                <c:pt idx="50">
                  <c:v>-1.2403142089850938E-2</c:v>
                </c:pt>
                <c:pt idx="51">
                  <c:v>-1.6362444941517285E-2</c:v>
                </c:pt>
                <c:pt idx="52">
                  <c:v>-1.9368996764136504E-2</c:v>
                </c:pt>
                <c:pt idx="53">
                  <c:v>-2.1671673593654073E-2</c:v>
                </c:pt>
                <c:pt idx="54">
                  <c:v>-2.2122234055141576E-2</c:v>
                </c:pt>
                <c:pt idx="55">
                  <c:v>-2.2130730713136759E-2</c:v>
                </c:pt>
                <c:pt idx="56">
                  <c:v>-2.1897553352068666E-2</c:v>
                </c:pt>
                <c:pt idx="57">
                  <c:v>-2.1022041847148953E-2</c:v>
                </c:pt>
                <c:pt idx="58">
                  <c:v>-1.9117648516446262E-2</c:v>
                </c:pt>
                <c:pt idx="59">
                  <c:v>-1.6447224061804655E-2</c:v>
                </c:pt>
                <c:pt idx="60">
                  <c:v>-1.3266052216645896E-2</c:v>
                </c:pt>
                <c:pt idx="61">
                  <c:v>-9.6207241364527629E-3</c:v>
                </c:pt>
                <c:pt idx="62">
                  <c:v>-5.7188170817994433E-3</c:v>
                </c:pt>
                <c:pt idx="63">
                  <c:v>-1.8572968877054175E-3</c:v>
                </c:pt>
                <c:pt idx="64">
                  <c:v>1.9545604854829257E-3</c:v>
                </c:pt>
                <c:pt idx="65">
                  <c:v>5.3660316788706197E-3</c:v>
                </c:pt>
                <c:pt idx="66">
                  <c:v>8.1956434974237435E-3</c:v>
                </c:pt>
                <c:pt idx="67">
                  <c:v>1.0121368980462453E-2</c:v>
                </c:pt>
                <c:pt idx="68">
                  <c:v>1.1082826803013424E-2</c:v>
                </c:pt>
                <c:pt idx="69">
                  <c:v>1.1171656754220161E-2</c:v>
                </c:pt>
                <c:pt idx="70">
                  <c:v>1.0568535620139485E-2</c:v>
                </c:pt>
                <c:pt idx="71">
                  <c:v>9.3094360856031955E-3</c:v>
                </c:pt>
                <c:pt idx="72">
                  <c:v>7.7472566525136344E-3</c:v>
                </c:pt>
                <c:pt idx="73">
                  <c:v>5.950716383143595E-3</c:v>
                </c:pt>
                <c:pt idx="74">
                  <c:v>4.0607223785997792E-3</c:v>
                </c:pt>
                <c:pt idx="75">
                  <c:v>2.1905497240033434E-3</c:v>
                </c:pt>
                <c:pt idx="76">
                  <c:v>3.9548140941714216E-4</c:v>
                </c:pt>
                <c:pt idx="77">
                  <c:v>-1.0213081193094498E-3</c:v>
                </c:pt>
                <c:pt idx="78">
                  <c:v>-1.9319614699910836E-3</c:v>
                </c:pt>
                <c:pt idx="79">
                  <c:v>-2.1330875487587386E-3</c:v>
                </c:pt>
                <c:pt idx="80">
                  <c:v>-1.5400177721269781E-3</c:v>
                </c:pt>
                <c:pt idx="81">
                  <c:v>-3.6899077872953878E-4</c:v>
                </c:pt>
                <c:pt idx="82">
                  <c:v>1.0549303745952532E-3</c:v>
                </c:pt>
                <c:pt idx="83">
                  <c:v>2.5156281599127972E-3</c:v>
                </c:pt>
                <c:pt idx="84">
                  <c:v>3.9256330633543612E-3</c:v>
                </c:pt>
                <c:pt idx="85">
                  <c:v>5.3162980169003671E-3</c:v>
                </c:pt>
                <c:pt idx="86">
                  <c:v>6.6503056774154246E-3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F-4310-8217-8575868895A8}"/>
            </c:ext>
          </c:extLst>
        </c:ser>
        <c:ser>
          <c:idx val="2"/>
          <c:order val="2"/>
          <c:tx>
            <c:strRef>
              <c:f>'OECD YOY'!$D$17</c:f>
              <c:strCache>
                <c:ptCount val="1"/>
                <c:pt idx="0">
                  <c:v>미국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YOY'!$D$18:$D$113</c:f>
              <c:numCache>
                <c:formatCode>0.000%</c:formatCode>
                <c:ptCount val="96"/>
                <c:pt idx="0">
                  <c:v>8.928277099125026E-3</c:v>
                </c:pt>
                <c:pt idx="1">
                  <c:v>9.2661524432950948E-3</c:v>
                </c:pt>
                <c:pt idx="2">
                  <c:v>9.5763354729723194E-3</c:v>
                </c:pt>
                <c:pt idx="3">
                  <c:v>9.644701238003206E-3</c:v>
                </c:pt>
                <c:pt idx="4">
                  <c:v>9.3814179446609636E-3</c:v>
                </c:pt>
                <c:pt idx="5">
                  <c:v>8.7230121277048767E-3</c:v>
                </c:pt>
                <c:pt idx="6">
                  <c:v>7.6292120347722925E-3</c:v>
                </c:pt>
                <c:pt idx="7">
                  <c:v>5.8658352569675998E-3</c:v>
                </c:pt>
                <c:pt idx="8">
                  <c:v>3.3669899229875622E-3</c:v>
                </c:pt>
                <c:pt idx="9">
                  <c:v>2.1135199478394817E-4</c:v>
                </c:pt>
                <c:pt idx="10">
                  <c:v>-3.2458060899684948E-3</c:v>
                </c:pt>
                <c:pt idx="11">
                  <c:v>-6.7357487192541976E-3</c:v>
                </c:pt>
                <c:pt idx="12">
                  <c:v>-1.0045762317988483E-2</c:v>
                </c:pt>
                <c:pt idx="13">
                  <c:v>-1.2897990764759282E-2</c:v>
                </c:pt>
                <c:pt idx="14">
                  <c:v>-1.4991331310473921E-2</c:v>
                </c:pt>
                <c:pt idx="15">
                  <c:v>-1.6489000065410875E-2</c:v>
                </c:pt>
                <c:pt idx="16">
                  <c:v>-1.7509664756844678E-2</c:v>
                </c:pt>
                <c:pt idx="17">
                  <c:v>-1.8086359759604931E-2</c:v>
                </c:pt>
                <c:pt idx="18">
                  <c:v>-1.8184912881058501E-2</c:v>
                </c:pt>
                <c:pt idx="19">
                  <c:v>-1.7731824594170442E-2</c:v>
                </c:pt>
                <c:pt idx="20">
                  <c:v>-1.632101619844839E-2</c:v>
                </c:pt>
                <c:pt idx="21">
                  <c:v>-1.394399159554971E-2</c:v>
                </c:pt>
                <c:pt idx="22">
                  <c:v>-1.0992165719554192E-2</c:v>
                </c:pt>
                <c:pt idx="23">
                  <c:v>-8.0053851770079953E-3</c:v>
                </c:pt>
                <c:pt idx="24">
                  <c:v>-5.5865288493032184E-3</c:v>
                </c:pt>
                <c:pt idx="25">
                  <c:v>-4.2189038487473463E-3</c:v>
                </c:pt>
                <c:pt idx="26">
                  <c:v>-1.6791527491202607E-2</c:v>
                </c:pt>
                <c:pt idx="27">
                  <c:v>-6.4726560748351036E-2</c:v>
                </c:pt>
                <c:pt idx="28">
                  <c:v>-4.8090012882938016E-2</c:v>
                </c:pt>
                <c:pt idx="29">
                  <c:v>-2.8765497885674063E-2</c:v>
                </c:pt>
                <c:pt idx="30">
                  <c:v>-1.1707579697292414E-2</c:v>
                </c:pt>
                <c:pt idx="31">
                  <c:v>-4.1525934998530856E-3</c:v>
                </c:pt>
                <c:pt idx="32">
                  <c:v>-1.1579233960197222E-3</c:v>
                </c:pt>
                <c:pt idx="33">
                  <c:v>2.0152871513794413E-3</c:v>
                </c:pt>
                <c:pt idx="34">
                  <c:v>5.2264973761464439E-3</c:v>
                </c:pt>
                <c:pt idx="35">
                  <c:v>8.6620803686692227E-3</c:v>
                </c:pt>
                <c:pt idx="36">
                  <c:v>1.2085959080065711E-2</c:v>
                </c:pt>
                <c:pt idx="37">
                  <c:v>1.6218277144365745E-2</c:v>
                </c:pt>
                <c:pt idx="38">
                  <c:v>3.3953831665138656E-2</c:v>
                </c:pt>
                <c:pt idx="39">
                  <c:v>9.1200114121218645E-2</c:v>
                </c:pt>
                <c:pt idx="40">
                  <c:v>7.4160522111917926E-2</c:v>
                </c:pt>
                <c:pt idx="41">
                  <c:v>5.3882918652027545E-2</c:v>
                </c:pt>
                <c:pt idx="42">
                  <c:v>3.6025780130005236E-2</c:v>
                </c:pt>
                <c:pt idx="43">
                  <c:v>2.7974386612090285E-2</c:v>
                </c:pt>
                <c:pt idx="44">
                  <c:v>2.4257703892405003E-2</c:v>
                </c:pt>
                <c:pt idx="45">
                  <c:v>2.0045758926319657E-2</c:v>
                </c:pt>
                <c:pt idx="46">
                  <c:v>1.559716559122748E-2</c:v>
                </c:pt>
                <c:pt idx="47">
                  <c:v>1.0802852052193668E-2</c:v>
                </c:pt>
                <c:pt idx="48">
                  <c:v>6.1151989856842448E-3</c:v>
                </c:pt>
                <c:pt idx="49">
                  <c:v>1.0407511681140846E-3</c:v>
                </c:pt>
                <c:pt idx="50">
                  <c:v>-4.0923926439885294E-3</c:v>
                </c:pt>
                <c:pt idx="51">
                  <c:v>-9.2349587571658454E-3</c:v>
                </c:pt>
                <c:pt idx="52">
                  <c:v>-1.3012834238318116E-2</c:v>
                </c:pt>
                <c:pt idx="53">
                  <c:v>-1.6182456334236872E-2</c:v>
                </c:pt>
                <c:pt idx="54">
                  <c:v>-1.841219067928368E-2</c:v>
                </c:pt>
                <c:pt idx="55">
                  <c:v>-1.9834217572146984E-2</c:v>
                </c:pt>
                <c:pt idx="56">
                  <c:v>-2.0915907529422295E-2</c:v>
                </c:pt>
                <c:pt idx="57">
                  <c:v>-2.1814898437724106E-2</c:v>
                </c:pt>
                <c:pt idx="58">
                  <c:v>-2.2480651598178358E-2</c:v>
                </c:pt>
                <c:pt idx="59">
                  <c:v>-2.2616240742610372E-2</c:v>
                </c:pt>
                <c:pt idx="60">
                  <c:v>-2.2146025304817907E-2</c:v>
                </c:pt>
                <c:pt idx="61">
                  <c:v>-2.1115600691657743E-2</c:v>
                </c:pt>
                <c:pt idx="62">
                  <c:v>-1.930533093844844E-2</c:v>
                </c:pt>
                <c:pt idx="63">
                  <c:v>-1.6506499214194559E-2</c:v>
                </c:pt>
                <c:pt idx="64">
                  <c:v>-1.2791807836460611E-2</c:v>
                </c:pt>
                <c:pt idx="65">
                  <c:v>-8.6955640868328077E-3</c:v>
                </c:pt>
                <c:pt idx="66">
                  <c:v>-5.0425685477933913E-3</c:v>
                </c:pt>
                <c:pt idx="67">
                  <c:v>-2.2214619899073584E-3</c:v>
                </c:pt>
                <c:pt idx="68">
                  <c:v>-1.1712354272053194E-4</c:v>
                </c:pt>
                <c:pt idx="69">
                  <c:v>1.5423193004349134E-3</c:v>
                </c:pt>
                <c:pt idx="70">
                  <c:v>3.1746308054563244E-3</c:v>
                </c:pt>
                <c:pt idx="71">
                  <c:v>4.8529235727579056E-3</c:v>
                </c:pt>
                <c:pt idx="72">
                  <c:v>6.6292516641517363E-3</c:v>
                </c:pt>
                <c:pt idx="73">
                  <c:v>8.3675524830444381E-3</c:v>
                </c:pt>
                <c:pt idx="74">
                  <c:v>9.7042279674099952E-3</c:v>
                </c:pt>
                <c:pt idx="75">
                  <c:v>1.0145755365546627E-2</c:v>
                </c:pt>
                <c:pt idx="76">
                  <c:v>9.7995124345593432E-3</c:v>
                </c:pt>
                <c:pt idx="77">
                  <c:v>9.0980347083517987E-3</c:v>
                </c:pt>
                <c:pt idx="78">
                  <c:v>8.7749039264017892E-3</c:v>
                </c:pt>
                <c:pt idx="79">
                  <c:v>9.1599020295678457E-3</c:v>
                </c:pt>
                <c:pt idx="80">
                  <c:v>1.027556338983926E-2</c:v>
                </c:pt>
                <c:pt idx="81">
                  <c:v>1.1746882231264744E-2</c:v>
                </c:pt>
                <c:pt idx="82">
                  <c:v>1.2955547112538657E-2</c:v>
                </c:pt>
                <c:pt idx="83">
                  <c:v>1.3433246930889098E-2</c:v>
                </c:pt>
                <c:pt idx="84">
                  <c:v>1.2997067321173228E-2</c:v>
                </c:pt>
                <c:pt idx="85">
                  <c:v>1.1877871086861891E-2</c:v>
                </c:pt>
                <c:pt idx="86">
                  <c:v>1.0634063635738489E-2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F-4310-8217-8575868895A8}"/>
            </c:ext>
          </c:extLst>
        </c:ser>
        <c:ser>
          <c:idx val="3"/>
          <c:order val="3"/>
          <c:tx>
            <c:strRef>
              <c:f>'OECD YOY'!$E$17</c:f>
              <c:strCache>
                <c:ptCount val="1"/>
                <c:pt idx="0">
                  <c:v>한국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YOY'!$E$18:$E$113</c:f>
              <c:numCache>
                <c:formatCode>0.000%</c:formatCode>
                <c:ptCount val="96"/>
                <c:pt idx="0">
                  <c:v>-9.2547942990072185E-3</c:v>
                </c:pt>
                <c:pt idx="1">
                  <c:v>-1.1900118971643669E-2</c:v>
                </c:pt>
                <c:pt idx="2">
                  <c:v>-1.3987995670569742E-2</c:v>
                </c:pt>
                <c:pt idx="3">
                  <c:v>-1.5419175958793052E-2</c:v>
                </c:pt>
                <c:pt idx="4">
                  <c:v>-1.6304946568249434E-2</c:v>
                </c:pt>
                <c:pt idx="5">
                  <c:v>-1.688093258078649E-2</c:v>
                </c:pt>
                <c:pt idx="6">
                  <c:v>-1.7061145441452652E-2</c:v>
                </c:pt>
                <c:pt idx="7">
                  <c:v>-1.6854734981495811E-2</c:v>
                </c:pt>
                <c:pt idx="8">
                  <c:v>-1.6378986718512345E-2</c:v>
                </c:pt>
                <c:pt idx="9">
                  <c:v>-1.5701187077236556E-2</c:v>
                </c:pt>
                <c:pt idx="10">
                  <c:v>-1.462131826876456E-2</c:v>
                </c:pt>
                <c:pt idx="11">
                  <c:v>-1.3224474060472668E-2</c:v>
                </c:pt>
                <c:pt idx="12">
                  <c:v>-1.1934697875152778E-2</c:v>
                </c:pt>
                <c:pt idx="13">
                  <c:v>-1.0957703942548802E-2</c:v>
                </c:pt>
                <c:pt idx="14">
                  <c:v>-1.0400625097297223E-2</c:v>
                </c:pt>
                <c:pt idx="15">
                  <c:v>-1.0320924954347666E-2</c:v>
                </c:pt>
                <c:pt idx="16">
                  <c:v>-1.0364402508679538E-2</c:v>
                </c:pt>
                <c:pt idx="17">
                  <c:v>-1.021129939951082E-2</c:v>
                </c:pt>
                <c:pt idx="18">
                  <c:v>-9.9700586560109716E-3</c:v>
                </c:pt>
                <c:pt idx="19">
                  <c:v>-9.4660691919683515E-3</c:v>
                </c:pt>
                <c:pt idx="20">
                  <c:v>-8.5242241150211839E-3</c:v>
                </c:pt>
                <c:pt idx="21">
                  <c:v>-7.0615358242187565E-3</c:v>
                </c:pt>
                <c:pt idx="22">
                  <c:v>-5.367339093541923E-3</c:v>
                </c:pt>
                <c:pt idx="23">
                  <c:v>-3.8641568040516105E-3</c:v>
                </c:pt>
                <c:pt idx="24">
                  <c:v>-2.822523046894454E-3</c:v>
                </c:pt>
                <c:pt idx="25">
                  <c:v>-2.0129169730702667E-3</c:v>
                </c:pt>
                <c:pt idx="26">
                  <c:v>-9.9116462801773775E-4</c:v>
                </c:pt>
                <c:pt idx="27">
                  <c:v>6.5760766268874171E-4</c:v>
                </c:pt>
                <c:pt idx="28">
                  <c:v>2.9682228584078096E-3</c:v>
                </c:pt>
                <c:pt idx="29">
                  <c:v>6.1195349772380503E-3</c:v>
                </c:pt>
                <c:pt idx="30">
                  <c:v>1.0058618078322867E-2</c:v>
                </c:pt>
                <c:pt idx="31">
                  <c:v>1.4281166498344433E-2</c:v>
                </c:pt>
                <c:pt idx="32">
                  <c:v>1.8324717115421052E-2</c:v>
                </c:pt>
                <c:pt idx="33">
                  <c:v>2.1804800662956536E-2</c:v>
                </c:pt>
                <c:pt idx="34">
                  <c:v>2.474108147025178E-2</c:v>
                </c:pt>
                <c:pt idx="35">
                  <c:v>2.7403699098080381E-2</c:v>
                </c:pt>
                <c:pt idx="36">
                  <c:v>3.025432585288379E-2</c:v>
                </c:pt>
                <c:pt idx="37">
                  <c:v>3.2952944575342702E-2</c:v>
                </c:pt>
                <c:pt idx="38">
                  <c:v>3.5089274142133586E-2</c:v>
                </c:pt>
                <c:pt idx="39">
                  <c:v>3.6025321884862072E-2</c:v>
                </c:pt>
                <c:pt idx="40">
                  <c:v>3.5014683856583018E-2</c:v>
                </c:pt>
                <c:pt idx="41">
                  <c:v>3.1561748500179343E-2</c:v>
                </c:pt>
                <c:pt idx="42">
                  <c:v>2.607130304601335E-2</c:v>
                </c:pt>
                <c:pt idx="43">
                  <c:v>1.927814554325824E-2</c:v>
                </c:pt>
                <c:pt idx="44">
                  <c:v>1.1867588352852509E-2</c:v>
                </c:pt>
                <c:pt idx="45">
                  <c:v>4.5882014844762509E-3</c:v>
                </c:pt>
                <c:pt idx="46">
                  <c:v>-1.9993404644789159E-3</c:v>
                </c:pt>
                <c:pt idx="47">
                  <c:v>-7.7715466351829798E-3</c:v>
                </c:pt>
                <c:pt idx="48">
                  <c:v>-1.297850643238152E-2</c:v>
                </c:pt>
                <c:pt idx="49">
                  <c:v>-1.7467522120346857E-2</c:v>
                </c:pt>
                <c:pt idx="50">
                  <c:v>-2.1175279708925299E-2</c:v>
                </c:pt>
                <c:pt idx="51">
                  <c:v>-2.4096514578250239E-2</c:v>
                </c:pt>
                <c:pt idx="52">
                  <c:v>-2.6109208206919199E-2</c:v>
                </c:pt>
                <c:pt idx="53">
                  <c:v>-2.7177061001754099E-2</c:v>
                </c:pt>
                <c:pt idx="54">
                  <c:v>-2.7394854564278925E-2</c:v>
                </c:pt>
                <c:pt idx="55">
                  <c:v>-2.7094987939625614E-2</c:v>
                </c:pt>
                <c:pt idx="56">
                  <c:v>-2.6824513438505559E-2</c:v>
                </c:pt>
                <c:pt idx="57">
                  <c:v>-2.6970820920551586E-2</c:v>
                </c:pt>
                <c:pt idx="58">
                  <c:v>-2.758473658228211E-2</c:v>
                </c:pt>
                <c:pt idx="59">
                  <c:v>-2.8164771279354128E-2</c:v>
                </c:pt>
                <c:pt idx="60">
                  <c:v>-2.8190033021923244E-2</c:v>
                </c:pt>
                <c:pt idx="61">
                  <c:v>-2.7304367206303248E-2</c:v>
                </c:pt>
                <c:pt idx="62">
                  <c:v>-2.5428527876603879E-2</c:v>
                </c:pt>
                <c:pt idx="63">
                  <c:v>-2.2608345164112698E-2</c:v>
                </c:pt>
                <c:pt idx="64">
                  <c:v>-1.8776816420519427E-2</c:v>
                </c:pt>
                <c:pt idx="65">
                  <c:v>-1.4256280283026057E-2</c:v>
                </c:pt>
                <c:pt idx="66">
                  <c:v>-9.6826323600387454E-3</c:v>
                </c:pt>
                <c:pt idx="67">
                  <c:v>-5.0491308425765213E-3</c:v>
                </c:pt>
                <c:pt idx="68">
                  <c:v>2.7174368731452958E-5</c:v>
                </c:pt>
                <c:pt idx="69">
                  <c:v>5.6431548057753744E-3</c:v>
                </c:pt>
                <c:pt idx="70">
                  <c:v>1.1505442779472297E-2</c:v>
                </c:pt>
                <c:pt idx="71">
                  <c:v>1.691649233014525E-2</c:v>
                </c:pt>
                <c:pt idx="72">
                  <c:v>2.1348094993824507E-2</c:v>
                </c:pt>
                <c:pt idx="73">
                  <c:v>2.4365893988082199E-2</c:v>
                </c:pt>
                <c:pt idx="74">
                  <c:v>2.5820082258940724E-2</c:v>
                </c:pt>
                <c:pt idx="75">
                  <c:v>2.5913881029083319E-2</c:v>
                </c:pt>
                <c:pt idx="76">
                  <c:v>2.4805508605005411E-2</c:v>
                </c:pt>
                <c:pt idx="77">
                  <c:v>2.3059436201596339E-2</c:v>
                </c:pt>
                <c:pt idx="78">
                  <c:v>2.1226492344981862E-2</c:v>
                </c:pt>
                <c:pt idx="79">
                  <c:v>1.9253296616432714E-2</c:v>
                </c:pt>
                <c:pt idx="80">
                  <c:v>1.7079687327481441E-2</c:v>
                </c:pt>
                <c:pt idx="81">
                  <c:v>1.4761609532594422E-2</c:v>
                </c:pt>
                <c:pt idx="82">
                  <c:v>1.2439613125708515E-2</c:v>
                </c:pt>
                <c:pt idx="83">
                  <c:v>1.0398959903342719E-2</c:v>
                </c:pt>
                <c:pt idx="84">
                  <c:v>8.8107318595500583E-3</c:v>
                </c:pt>
                <c:pt idx="85">
                  <c:v>7.6470112448412397E-3</c:v>
                </c:pt>
                <c:pt idx="86">
                  <c:v>6.8881600779699959E-3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0F-4310-8217-857586889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888864"/>
        <c:axId val="2076005232"/>
      </c:lineChart>
      <c:catAx>
        <c:axId val="9628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76005232"/>
        <c:crosses val="autoZero"/>
        <c:auto val="1"/>
        <c:lblAlgn val="ctr"/>
        <c:lblOffset val="100"/>
        <c:noMultiLvlLbl val="0"/>
      </c:catAx>
      <c:valAx>
        <c:axId val="20760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26" Type="http://schemas.openxmlformats.org/officeDocument/2006/relationships/image" Target="../media/image30.png"/><Relationship Id="rId3" Type="http://schemas.openxmlformats.org/officeDocument/2006/relationships/image" Target="../media/image7.png"/><Relationship Id="rId21" Type="http://schemas.openxmlformats.org/officeDocument/2006/relationships/image" Target="../media/image25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5" Type="http://schemas.openxmlformats.org/officeDocument/2006/relationships/image" Target="../media/image29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20" Type="http://schemas.openxmlformats.org/officeDocument/2006/relationships/image" Target="../media/image24.png"/><Relationship Id="rId1" Type="http://schemas.openxmlformats.org/officeDocument/2006/relationships/image" Target="../media/image5.jpe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24" Type="http://schemas.openxmlformats.org/officeDocument/2006/relationships/image" Target="../media/image28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28" Type="http://schemas.openxmlformats.org/officeDocument/2006/relationships/image" Target="../media/image32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Relationship Id="rId27" Type="http://schemas.openxmlformats.org/officeDocument/2006/relationships/image" Target="../media/image31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6.xml"/><Relationship Id="rId18" Type="http://schemas.openxmlformats.org/officeDocument/2006/relationships/chart" Target="../charts/chart21.xml"/><Relationship Id="rId26" Type="http://schemas.openxmlformats.org/officeDocument/2006/relationships/chart" Target="../charts/chart29.xml"/><Relationship Id="rId3" Type="http://schemas.openxmlformats.org/officeDocument/2006/relationships/chart" Target="../charts/chart6.xml"/><Relationship Id="rId21" Type="http://schemas.openxmlformats.org/officeDocument/2006/relationships/chart" Target="../charts/chart24.xml"/><Relationship Id="rId34" Type="http://schemas.openxmlformats.org/officeDocument/2006/relationships/chart" Target="../charts/chart37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5" Type="http://schemas.openxmlformats.org/officeDocument/2006/relationships/chart" Target="../charts/chart28.xml"/><Relationship Id="rId33" Type="http://schemas.openxmlformats.org/officeDocument/2006/relationships/chart" Target="../charts/chart36.xml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0" Type="http://schemas.openxmlformats.org/officeDocument/2006/relationships/chart" Target="../charts/chart23.xml"/><Relationship Id="rId29" Type="http://schemas.openxmlformats.org/officeDocument/2006/relationships/chart" Target="../charts/chart32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24" Type="http://schemas.openxmlformats.org/officeDocument/2006/relationships/chart" Target="../charts/chart27.xml"/><Relationship Id="rId32" Type="http://schemas.openxmlformats.org/officeDocument/2006/relationships/chart" Target="../charts/chart35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23" Type="http://schemas.openxmlformats.org/officeDocument/2006/relationships/chart" Target="../charts/chart26.xml"/><Relationship Id="rId28" Type="http://schemas.openxmlformats.org/officeDocument/2006/relationships/chart" Target="../charts/chart31.xml"/><Relationship Id="rId36" Type="http://schemas.openxmlformats.org/officeDocument/2006/relationships/chart" Target="../charts/chart39.xml"/><Relationship Id="rId10" Type="http://schemas.openxmlformats.org/officeDocument/2006/relationships/chart" Target="../charts/chart13.xml"/><Relationship Id="rId19" Type="http://schemas.openxmlformats.org/officeDocument/2006/relationships/chart" Target="../charts/chart22.xml"/><Relationship Id="rId31" Type="http://schemas.openxmlformats.org/officeDocument/2006/relationships/chart" Target="../charts/chart34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Relationship Id="rId22" Type="http://schemas.openxmlformats.org/officeDocument/2006/relationships/chart" Target="../charts/chart25.xml"/><Relationship Id="rId27" Type="http://schemas.openxmlformats.org/officeDocument/2006/relationships/chart" Target="../charts/chart30.xml"/><Relationship Id="rId30" Type="http://schemas.openxmlformats.org/officeDocument/2006/relationships/chart" Target="../charts/chart33.xml"/><Relationship Id="rId35" Type="http://schemas.openxmlformats.org/officeDocument/2006/relationships/chart" Target="../charts/chart38.xml"/><Relationship Id="rId8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5.emf"/><Relationship Id="rId2" Type="http://schemas.openxmlformats.org/officeDocument/2006/relationships/image" Target="../media/image34.emf"/><Relationship Id="rId1" Type="http://schemas.openxmlformats.org/officeDocument/2006/relationships/image" Target="../media/image33.emf"/><Relationship Id="rId5" Type="http://schemas.openxmlformats.org/officeDocument/2006/relationships/image" Target="../media/image37.emf"/><Relationship Id="rId4" Type="http://schemas.openxmlformats.org/officeDocument/2006/relationships/image" Target="../media/image3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110</xdr:row>
      <xdr:rowOff>181563</xdr:rowOff>
    </xdr:from>
    <xdr:to>
      <xdr:col>3</xdr:col>
      <xdr:colOff>4632074</xdr:colOff>
      <xdr:row>134</xdr:row>
      <xdr:rowOff>155593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26E7B9F-9115-480B-7156-CF6AC597E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25871"/>
          <a:ext cx="6694456" cy="472187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112</xdr:row>
      <xdr:rowOff>0</xdr:rowOff>
    </xdr:from>
    <xdr:to>
      <xdr:col>16</xdr:col>
      <xdr:colOff>666235</xdr:colOff>
      <xdr:row>146</xdr:row>
      <xdr:rowOff>136737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4B9FB6-8473-FE34-7AFE-2BC73061D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5635" y="8506558"/>
          <a:ext cx="9980952" cy="68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150</xdr:row>
      <xdr:rowOff>0</xdr:rowOff>
    </xdr:from>
    <xdr:to>
      <xdr:col>16</xdr:col>
      <xdr:colOff>132902</xdr:colOff>
      <xdr:row>176</xdr:row>
      <xdr:rowOff>136501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6CEF669-FAB0-6836-5B25-755EF264E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75635" y="16023981"/>
          <a:ext cx="9447619" cy="5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150</xdr:row>
      <xdr:rowOff>197826</xdr:rowOff>
    </xdr:from>
    <xdr:to>
      <xdr:col>10</xdr:col>
      <xdr:colOff>533342</xdr:colOff>
      <xdr:row>195</xdr:row>
      <xdr:rowOff>76568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AA129E1-BE28-9083-FFF1-2D2F0D269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308" y="22054038"/>
          <a:ext cx="12190476" cy="87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708128</xdr:colOff>
      <xdr:row>10</xdr:row>
      <xdr:rowOff>147470</xdr:rowOff>
    </xdr:from>
    <xdr:to>
      <xdr:col>16</xdr:col>
      <xdr:colOff>222438</xdr:colOff>
      <xdr:row>30</xdr:row>
      <xdr:rowOff>119325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571500</xdr:colOff>
      <xdr:row>10</xdr:row>
      <xdr:rowOff>156883</xdr:rowOff>
    </xdr:from>
    <xdr:to>
      <xdr:col>20</xdr:col>
      <xdr:colOff>91524</xdr:colOff>
      <xdr:row>30</xdr:row>
      <xdr:rowOff>130643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D739294-6D80-4549-A9C6-5757F7F53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658055</xdr:colOff>
      <xdr:row>7</xdr:row>
      <xdr:rowOff>135862</xdr:rowOff>
    </xdr:from>
    <xdr:to>
      <xdr:col>28</xdr:col>
      <xdr:colOff>997887</xdr:colOff>
      <xdr:row>27</xdr:row>
      <xdr:rowOff>109623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E304031-B8D5-4C15-8AF8-1F5403C77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7</xdr:col>
      <xdr:colOff>281940</xdr:colOff>
      <xdr:row>17</xdr:row>
      <xdr:rowOff>211455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12459BC-3C0B-B8BA-217C-1F36DC5D3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38150"/>
          <a:ext cx="4282440" cy="34975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14</xdr:col>
      <xdr:colOff>279263</xdr:colOff>
      <xdr:row>18</xdr:row>
      <xdr:rowOff>6400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1582F95-6021-AD56-3739-75F2779A0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0" y="4381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7</xdr:col>
      <xdr:colOff>279263</xdr:colOff>
      <xdr:row>35</xdr:row>
      <xdr:rowOff>6400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5665342-297D-7840-B02A-C097F747B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41624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14</xdr:col>
      <xdr:colOff>279263</xdr:colOff>
      <xdr:row>35</xdr:row>
      <xdr:rowOff>6400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A333486-2972-B879-8738-0D02E6303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0" y="41624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7</xdr:col>
      <xdr:colOff>279263</xdr:colOff>
      <xdr:row>52</xdr:row>
      <xdr:rowOff>6400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BFE35E2-CF2D-425C-EBF1-4D59E0518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0" y="78867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7</xdr:col>
      <xdr:colOff>279263</xdr:colOff>
      <xdr:row>71</xdr:row>
      <xdr:rowOff>6400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2EAFE4-1B75-DE1B-718B-175C2B61D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0" y="12049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14</xdr:col>
      <xdr:colOff>279263</xdr:colOff>
      <xdr:row>71</xdr:row>
      <xdr:rowOff>6400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1F44A3E4-0493-7B4F-8525-C5C7DEC25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34000" y="12049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7</xdr:col>
      <xdr:colOff>279263</xdr:colOff>
      <xdr:row>88</xdr:row>
      <xdr:rowOff>6400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6C564217-18A2-7D35-2B1D-05CE10761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6750" y="157734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14</xdr:col>
      <xdr:colOff>279263</xdr:colOff>
      <xdr:row>88</xdr:row>
      <xdr:rowOff>6400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9B74A9D-FDD9-5BBD-D8A5-E248BA898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34000" y="157734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7</xdr:col>
      <xdr:colOff>279263</xdr:colOff>
      <xdr:row>105</xdr:row>
      <xdr:rowOff>6400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D8A4ADB-E839-9CE4-CD1F-71F98D475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6750" y="194976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89</xdr:row>
      <xdr:rowOff>0</xdr:rowOff>
    </xdr:from>
    <xdr:to>
      <xdr:col>14</xdr:col>
      <xdr:colOff>279263</xdr:colOff>
      <xdr:row>105</xdr:row>
      <xdr:rowOff>6400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C5CDB048-CD78-12DB-E710-E8725034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34000" y="194976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7</xdr:col>
      <xdr:colOff>279263</xdr:colOff>
      <xdr:row>123</xdr:row>
      <xdr:rowOff>6400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64C211F-F73F-3AFD-6342-8D2C4B99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0" y="234410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107</xdr:row>
      <xdr:rowOff>0</xdr:rowOff>
    </xdr:from>
    <xdr:to>
      <xdr:col>14</xdr:col>
      <xdr:colOff>279263</xdr:colOff>
      <xdr:row>123</xdr:row>
      <xdr:rowOff>6400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63D1CFD3-3FA3-C10A-3426-152A469D5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4000" y="234410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7</xdr:col>
      <xdr:colOff>285359</xdr:colOff>
      <xdr:row>139</xdr:row>
      <xdr:rowOff>213282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35C23284-3E0F-5B92-8BFD-255E47D5D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6750" y="27165300"/>
          <a:ext cx="4285859" cy="34994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7</xdr:col>
      <xdr:colOff>279263</xdr:colOff>
      <xdr:row>159</xdr:row>
      <xdr:rowOff>6400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D5EAFDA0-4E00-2E48-5F84-4D113B7A9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6750" y="313277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14</xdr:col>
      <xdr:colOff>279263</xdr:colOff>
      <xdr:row>159</xdr:row>
      <xdr:rowOff>6400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F01564E5-CBA2-CA3F-45FB-9AE345453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34000" y="313277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7</xdr:col>
      <xdr:colOff>279263</xdr:colOff>
      <xdr:row>176</xdr:row>
      <xdr:rowOff>6400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BD5B02C2-E968-0D6B-FCFA-341A2482E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6750" y="350520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7</xdr:col>
      <xdr:colOff>279263</xdr:colOff>
      <xdr:row>194</xdr:row>
      <xdr:rowOff>6400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6FA7AFAC-F026-4297-4548-3B99644E3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66750" y="389953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178</xdr:row>
      <xdr:rowOff>0</xdr:rowOff>
    </xdr:from>
    <xdr:to>
      <xdr:col>14</xdr:col>
      <xdr:colOff>279263</xdr:colOff>
      <xdr:row>194</xdr:row>
      <xdr:rowOff>6400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C4B5E8C-0C63-4671-1221-A36403BEB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334000" y="389953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7</xdr:col>
      <xdr:colOff>279263</xdr:colOff>
      <xdr:row>212</xdr:row>
      <xdr:rowOff>6400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F5057085-4BEF-75FE-8E46-7E079EC72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66750" y="429387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7</xdr:col>
      <xdr:colOff>279263</xdr:colOff>
      <xdr:row>231</xdr:row>
      <xdr:rowOff>6400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F3F430AC-B405-EF64-B2B8-E9E7B7563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66750" y="47101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215</xdr:row>
      <xdr:rowOff>0</xdr:rowOff>
    </xdr:from>
    <xdr:to>
      <xdr:col>14</xdr:col>
      <xdr:colOff>279263</xdr:colOff>
      <xdr:row>231</xdr:row>
      <xdr:rowOff>6400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1EB5D300-62AB-AA61-EFD8-787D6631E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4000" y="47101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7</xdr:col>
      <xdr:colOff>279263</xdr:colOff>
      <xdr:row>249</xdr:row>
      <xdr:rowOff>6400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25AF9157-9A35-9D42-6F51-0A5302760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6750" y="510444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233</xdr:row>
      <xdr:rowOff>0</xdr:rowOff>
    </xdr:from>
    <xdr:to>
      <xdr:col>14</xdr:col>
      <xdr:colOff>279263</xdr:colOff>
      <xdr:row>249</xdr:row>
      <xdr:rowOff>6400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758D51F7-9B90-C7BA-6A61-C626B8825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334000" y="510444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7</xdr:col>
      <xdr:colOff>279263</xdr:colOff>
      <xdr:row>266</xdr:row>
      <xdr:rowOff>6400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CC154DE8-16A9-267C-7B50-DC72782B4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66750" y="547687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7</xdr:col>
      <xdr:colOff>279263</xdr:colOff>
      <xdr:row>285</xdr:row>
      <xdr:rowOff>304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661A01-D53D-2D0A-E668-A3687B1BF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66750" y="58931175"/>
          <a:ext cx="4279763" cy="350550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269</xdr:row>
      <xdr:rowOff>0</xdr:rowOff>
    </xdr:from>
    <xdr:to>
      <xdr:col>14</xdr:col>
      <xdr:colOff>279263</xdr:colOff>
      <xdr:row>285</xdr:row>
      <xdr:rowOff>304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517BE91-9E86-8D22-85C7-97307D6F5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34000" y="58931175"/>
          <a:ext cx="4279763" cy="35055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7</xdr:col>
      <xdr:colOff>279263</xdr:colOff>
      <xdr:row>303</xdr:row>
      <xdr:rowOff>304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265E4FA-A8C1-D5A6-104D-4C8E0E152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66750" y="62874525"/>
          <a:ext cx="4279763" cy="35055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438150</xdr:colOff>
      <xdr:row>15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4763</xdr:colOff>
      <xdr:row>15</xdr:row>
      <xdr:rowOff>176213</xdr:rowOff>
    </xdr:from>
    <xdr:to>
      <xdr:col>6</xdr:col>
      <xdr:colOff>442913</xdr:colOff>
      <xdr:row>28</xdr:row>
      <xdr:rowOff>195263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14288</xdr:colOff>
      <xdr:row>29</xdr:row>
      <xdr:rowOff>147638</xdr:rowOff>
    </xdr:from>
    <xdr:to>
      <xdr:col>6</xdr:col>
      <xdr:colOff>452438</xdr:colOff>
      <xdr:row>42</xdr:row>
      <xdr:rowOff>166688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668338</xdr:colOff>
      <xdr:row>2</xdr:row>
      <xdr:rowOff>14288</xdr:rowOff>
    </xdr:from>
    <xdr:to>
      <xdr:col>13</xdr:col>
      <xdr:colOff>420688</xdr:colOff>
      <xdr:row>15</xdr:row>
      <xdr:rowOff>33338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677863</xdr:colOff>
      <xdr:row>15</xdr:row>
      <xdr:rowOff>195263</xdr:rowOff>
    </xdr:from>
    <xdr:to>
      <xdr:col>13</xdr:col>
      <xdr:colOff>430213</xdr:colOff>
      <xdr:row>29</xdr:row>
      <xdr:rowOff>4763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677863</xdr:colOff>
      <xdr:row>29</xdr:row>
      <xdr:rowOff>128588</xdr:rowOff>
    </xdr:from>
    <xdr:to>
      <xdr:col>13</xdr:col>
      <xdr:colOff>430213</xdr:colOff>
      <xdr:row>42</xdr:row>
      <xdr:rowOff>147638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656295</xdr:colOff>
      <xdr:row>2</xdr:row>
      <xdr:rowOff>35638</xdr:rowOff>
    </xdr:from>
    <xdr:to>
      <xdr:col>20</xdr:col>
      <xdr:colOff>408645</xdr:colOff>
      <xdr:row>15</xdr:row>
      <xdr:rowOff>54688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646113</xdr:colOff>
      <xdr:row>15</xdr:row>
      <xdr:rowOff>204788</xdr:rowOff>
    </xdr:from>
    <xdr:to>
      <xdr:col>20</xdr:col>
      <xdr:colOff>398463</xdr:colOff>
      <xdr:row>29</xdr:row>
      <xdr:rowOff>14288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645456</xdr:colOff>
      <xdr:row>29</xdr:row>
      <xdr:rowOff>173914</xdr:rowOff>
    </xdr:from>
    <xdr:to>
      <xdr:col>20</xdr:col>
      <xdr:colOff>397806</xdr:colOff>
      <xdr:row>42</xdr:row>
      <xdr:rowOff>192964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6</xdr:col>
      <xdr:colOff>424543</xdr:colOff>
      <xdr:row>58</xdr:row>
      <xdr:rowOff>148318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4763</xdr:colOff>
      <xdr:row>59</xdr:row>
      <xdr:rowOff>102735</xdr:rowOff>
    </xdr:from>
    <xdr:to>
      <xdr:col>6</xdr:col>
      <xdr:colOff>429306</xdr:colOff>
      <xdr:row>73</xdr:row>
      <xdr:rowOff>48306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14288</xdr:colOff>
      <xdr:row>74</xdr:row>
      <xdr:rowOff>7485</xdr:rowOff>
    </xdr:from>
    <xdr:to>
      <xdr:col>6</xdr:col>
      <xdr:colOff>438831</xdr:colOff>
      <xdr:row>87</xdr:row>
      <xdr:rowOff>155803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652463</xdr:colOff>
      <xdr:row>45</xdr:row>
      <xdr:rowOff>14288</xdr:rowOff>
    </xdr:from>
    <xdr:to>
      <xdr:col>13</xdr:col>
      <xdr:colOff>391206</xdr:colOff>
      <xdr:row>58</xdr:row>
      <xdr:rowOff>162606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661988</xdr:colOff>
      <xdr:row>59</xdr:row>
      <xdr:rowOff>128588</xdr:rowOff>
    </xdr:from>
    <xdr:to>
      <xdr:col>13</xdr:col>
      <xdr:colOff>400731</xdr:colOff>
      <xdr:row>73</xdr:row>
      <xdr:rowOff>67356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661988</xdr:colOff>
      <xdr:row>73</xdr:row>
      <xdr:rowOff>197985</xdr:rowOff>
    </xdr:from>
    <xdr:to>
      <xdr:col>13</xdr:col>
      <xdr:colOff>400731</xdr:colOff>
      <xdr:row>87</xdr:row>
      <xdr:rowOff>136753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657389</xdr:colOff>
      <xdr:row>45</xdr:row>
      <xdr:rowOff>22734</xdr:rowOff>
    </xdr:from>
    <xdr:to>
      <xdr:col>20</xdr:col>
      <xdr:colOff>396132</xdr:colOff>
      <xdr:row>58</xdr:row>
      <xdr:rowOff>171709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634070</xdr:colOff>
      <xdr:row>59</xdr:row>
      <xdr:rowOff>105268</xdr:rowOff>
    </xdr:from>
    <xdr:to>
      <xdr:col>20</xdr:col>
      <xdr:colOff>372813</xdr:colOff>
      <xdr:row>73</xdr:row>
      <xdr:rowOff>44036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633413</xdr:colOff>
      <xdr:row>74</xdr:row>
      <xdr:rowOff>7485</xdr:rowOff>
    </xdr:from>
    <xdr:to>
      <xdr:col>20</xdr:col>
      <xdr:colOff>372156</xdr:colOff>
      <xdr:row>87</xdr:row>
      <xdr:rowOff>155803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6</xdr:col>
      <xdr:colOff>457200</xdr:colOff>
      <xdr:row>123</xdr:row>
      <xdr:rowOff>19050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4763</xdr:colOff>
      <xdr:row>123</xdr:row>
      <xdr:rowOff>176213</xdr:rowOff>
    </xdr:from>
    <xdr:to>
      <xdr:col>6</xdr:col>
      <xdr:colOff>461963</xdr:colOff>
      <xdr:row>136</xdr:row>
      <xdr:rowOff>195263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14288</xdr:colOff>
      <xdr:row>137</xdr:row>
      <xdr:rowOff>147638</xdr:rowOff>
    </xdr:from>
    <xdr:to>
      <xdr:col>6</xdr:col>
      <xdr:colOff>471488</xdr:colOff>
      <xdr:row>150</xdr:row>
      <xdr:rowOff>166688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4763</xdr:colOff>
      <xdr:row>110</xdr:row>
      <xdr:rowOff>14288</xdr:rowOff>
    </xdr:from>
    <xdr:to>
      <xdr:col>13</xdr:col>
      <xdr:colOff>461963</xdr:colOff>
      <xdr:row>123</xdr:row>
      <xdr:rowOff>33338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14288</xdr:colOff>
      <xdr:row>123</xdr:row>
      <xdr:rowOff>195263</xdr:rowOff>
    </xdr:from>
    <xdr:to>
      <xdr:col>13</xdr:col>
      <xdr:colOff>471488</xdr:colOff>
      <xdr:row>137</xdr:row>
      <xdr:rowOff>4763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14288</xdr:colOff>
      <xdr:row>137</xdr:row>
      <xdr:rowOff>128588</xdr:rowOff>
    </xdr:from>
    <xdr:to>
      <xdr:col>13</xdr:col>
      <xdr:colOff>471488</xdr:colOff>
      <xdr:row>150</xdr:row>
      <xdr:rowOff>147638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</xdr:col>
      <xdr:colOff>681038</xdr:colOff>
      <xdr:row>110</xdr:row>
      <xdr:rowOff>61913</xdr:rowOff>
    </xdr:from>
    <xdr:to>
      <xdr:col>20</xdr:col>
      <xdr:colOff>452438</xdr:colOff>
      <xdr:row>123</xdr:row>
      <xdr:rowOff>80963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14</xdr:col>
      <xdr:colOff>4763</xdr:colOff>
      <xdr:row>123</xdr:row>
      <xdr:rowOff>204788</xdr:rowOff>
    </xdr:from>
    <xdr:to>
      <xdr:col>20</xdr:col>
      <xdr:colOff>461963</xdr:colOff>
      <xdr:row>137</xdr:row>
      <xdr:rowOff>14288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14</xdr:col>
      <xdr:colOff>23813</xdr:colOff>
      <xdr:row>137</xdr:row>
      <xdr:rowOff>147638</xdr:rowOff>
    </xdr:from>
    <xdr:to>
      <xdr:col>20</xdr:col>
      <xdr:colOff>481013</xdr:colOff>
      <xdr:row>150</xdr:row>
      <xdr:rowOff>166688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0</xdr:colOff>
      <xdr:row>153</xdr:row>
      <xdr:rowOff>0</xdr:rowOff>
    </xdr:from>
    <xdr:to>
      <xdr:col>6</xdr:col>
      <xdr:colOff>424543</xdr:colOff>
      <xdr:row>166</xdr:row>
      <xdr:rowOff>148318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4763</xdr:colOff>
      <xdr:row>167</xdr:row>
      <xdr:rowOff>102735</xdr:rowOff>
    </xdr:from>
    <xdr:to>
      <xdr:col>6</xdr:col>
      <xdr:colOff>429306</xdr:colOff>
      <xdr:row>181</xdr:row>
      <xdr:rowOff>48306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14288</xdr:colOff>
      <xdr:row>182</xdr:row>
      <xdr:rowOff>7485</xdr:rowOff>
    </xdr:from>
    <xdr:to>
      <xdr:col>6</xdr:col>
      <xdr:colOff>438831</xdr:colOff>
      <xdr:row>195</xdr:row>
      <xdr:rowOff>155803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</xdr:col>
      <xdr:colOff>652463</xdr:colOff>
      <xdr:row>153</xdr:row>
      <xdr:rowOff>14288</xdr:rowOff>
    </xdr:from>
    <xdr:to>
      <xdr:col>13</xdr:col>
      <xdr:colOff>391206</xdr:colOff>
      <xdr:row>166</xdr:row>
      <xdr:rowOff>162606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661988</xdr:colOff>
      <xdr:row>167</xdr:row>
      <xdr:rowOff>128588</xdr:rowOff>
    </xdr:from>
    <xdr:to>
      <xdr:col>13</xdr:col>
      <xdr:colOff>400731</xdr:colOff>
      <xdr:row>181</xdr:row>
      <xdr:rowOff>67356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</xdr:col>
      <xdr:colOff>661988</xdr:colOff>
      <xdr:row>181</xdr:row>
      <xdr:rowOff>197985</xdr:rowOff>
    </xdr:from>
    <xdr:to>
      <xdr:col>13</xdr:col>
      <xdr:colOff>400731</xdr:colOff>
      <xdr:row>195</xdr:row>
      <xdr:rowOff>136753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13</xdr:col>
      <xdr:colOff>604838</xdr:colOff>
      <xdr:row>153</xdr:row>
      <xdr:rowOff>68717</xdr:rowOff>
    </xdr:from>
    <xdr:to>
      <xdr:col>20</xdr:col>
      <xdr:colOff>343581</xdr:colOff>
      <xdr:row>167</xdr:row>
      <xdr:rowOff>7485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13</xdr:col>
      <xdr:colOff>614363</xdr:colOff>
      <xdr:row>167</xdr:row>
      <xdr:rowOff>138113</xdr:rowOff>
    </xdr:from>
    <xdr:to>
      <xdr:col>20</xdr:col>
      <xdr:colOff>353106</xdr:colOff>
      <xdr:row>181</xdr:row>
      <xdr:rowOff>76881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13</xdr:col>
      <xdr:colOff>633413</xdr:colOff>
      <xdr:row>182</xdr:row>
      <xdr:rowOff>7485</xdr:rowOff>
    </xdr:from>
    <xdr:to>
      <xdr:col>20</xdr:col>
      <xdr:colOff>372156</xdr:colOff>
      <xdr:row>195</xdr:row>
      <xdr:rowOff>155803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6</xdr:row>
      <xdr:rowOff>0</xdr:rowOff>
    </xdr:from>
    <xdr:to>
      <xdr:col>33</xdr:col>
      <xdr:colOff>130240</xdr:colOff>
      <xdr:row>25</xdr:row>
      <xdr:rowOff>194935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49425" y="1200150"/>
          <a:ext cx="9045640" cy="4319260"/>
        </a:xfrm>
        <a:prstGeom prst="rect">
          <a:avLst/>
        </a:prstGeom>
      </xdr:spPr>
    </xdr:pic>
    <xdr:clientData/>
  </xdr:twoCellAnchor>
  <xdr:twoCellAnchor editAs="oneCell">
    <xdr:from>
      <xdr:col>21</xdr:col>
      <xdr:colOff>379240</xdr:colOff>
      <xdr:row>5</xdr:row>
      <xdr:rowOff>163285</xdr:rowOff>
    </xdr:from>
    <xdr:to>
      <xdr:col>34</xdr:col>
      <xdr:colOff>531374</xdr:colOff>
      <xdr:row>25</xdr:row>
      <xdr:rowOff>16748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14465" y="1191985"/>
          <a:ext cx="9067534" cy="414379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564424</xdr:colOff>
          <xdr:row>43</xdr:row>
          <xdr:rowOff>111579</xdr:rowOff>
        </xdr:from>
        <xdr:to>
          <xdr:col>7</xdr:col>
          <xdr:colOff>143147</xdr:colOff>
          <xdr:row>45</xdr:row>
          <xdr:rowOff>54973</xdr:rowOff>
        </xdr:to>
        <xdr:sp macro="" textlink="">
          <xdr:nvSpPr>
            <xdr:cNvPr id="8193" name="Control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54</xdr:row>
          <xdr:rowOff>116477</xdr:rowOff>
        </xdr:from>
        <xdr:to>
          <xdr:col>10</xdr:col>
          <xdr:colOff>418556</xdr:colOff>
          <xdr:row>56</xdr:row>
          <xdr:rowOff>166551</xdr:rowOff>
        </xdr:to>
        <xdr:sp macro="" textlink="">
          <xdr:nvSpPr>
            <xdr:cNvPr id="8194" name="Control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5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564424</xdr:colOff>
          <xdr:row>43</xdr:row>
          <xdr:rowOff>126819</xdr:rowOff>
        </xdr:from>
        <xdr:to>
          <xdr:col>7</xdr:col>
          <xdr:colOff>143147</xdr:colOff>
          <xdr:row>45</xdr:row>
          <xdr:rowOff>70213</xdr:rowOff>
        </xdr:to>
        <xdr:sp macro="" textlink="">
          <xdr:nvSpPr>
            <xdr:cNvPr id="8195" name="Control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5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54</xdr:row>
          <xdr:rowOff>169817</xdr:rowOff>
        </xdr:from>
        <xdr:to>
          <xdr:col>10</xdr:col>
          <xdr:colOff>418556</xdr:colOff>
          <xdr:row>57</xdr:row>
          <xdr:rowOff>42999</xdr:rowOff>
        </xdr:to>
        <xdr:sp macro="" textlink="">
          <xdr:nvSpPr>
            <xdr:cNvPr id="8196" name="Control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5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1592580</xdr:colOff>
          <xdr:row>62</xdr:row>
          <xdr:rowOff>50074</xdr:rowOff>
        </xdr:from>
        <xdr:to>
          <xdr:col>2</xdr:col>
          <xdr:colOff>1737360</xdr:colOff>
          <xdr:row>63</xdr:row>
          <xdr:rowOff>33201</xdr:rowOff>
        </xdr:to>
        <xdr:sp macro="" textlink="">
          <xdr:nvSpPr>
            <xdr:cNvPr id="8197" name="Control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5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76199</xdr:colOff>
      <xdr:row>42</xdr:row>
      <xdr:rowOff>185736</xdr:rowOff>
    </xdr:from>
    <xdr:to>
      <xdr:col>21</xdr:col>
      <xdr:colOff>142874</xdr:colOff>
      <xdr:row>65</xdr:row>
      <xdr:rowOff>38099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to.int/en/news-and-events/articles/news/2025/08/20/turkiye-to-host-2026-nato-summit-in-ankara" TargetMode="External"/><Relationship Id="rId2" Type="http://schemas.openxmlformats.org/officeDocument/2006/relationships/hyperlink" Target="https://www.spacecomexpo.com/" TargetMode="External"/><Relationship Id="rId1" Type="http://schemas.openxmlformats.org/officeDocument/2006/relationships/hyperlink" Target="https://www.nei.org/conferences?utm_source=chatgpt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nnualconference.eda.europa.eu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kind.krx.co.kr/investwarn/investattentwarnrisky.do?method=investattentwarnriskyMain" TargetMode="External"/><Relationship Id="rId18" Type="http://schemas.openxmlformats.org/officeDocument/2006/relationships/hyperlink" Target="https://kind.krx.co.kr/investwarn/investattentwarnrisky.do?method=investattentwarnriskyMain" TargetMode="External"/><Relationship Id="rId26" Type="http://schemas.openxmlformats.org/officeDocument/2006/relationships/hyperlink" Target="https://kind.krx.co.kr/investwarn/investattentwarnrisky.do?method=investattentwarnriskyMain" TargetMode="External"/><Relationship Id="rId39" Type="http://schemas.openxmlformats.org/officeDocument/2006/relationships/hyperlink" Target="https://kind.krx.co.kr/investwarn/investattentwarnrisky.do?method=investattentwarnriskyMain" TargetMode="External"/><Relationship Id="rId21" Type="http://schemas.openxmlformats.org/officeDocument/2006/relationships/hyperlink" Target="https://kind.krx.co.kr/investwarn/investattentwarnrisky.do?method=investattentwarnriskyMain" TargetMode="External"/><Relationship Id="rId34" Type="http://schemas.openxmlformats.org/officeDocument/2006/relationships/hyperlink" Target="https://kind.krx.co.kr/investwarn/investattentwarnrisky.do?method=investattentwarnriskyMain" TargetMode="External"/><Relationship Id="rId42" Type="http://schemas.openxmlformats.org/officeDocument/2006/relationships/hyperlink" Target="https://kind.krx.co.kr/investwarn/investattentwarnrisky.do?method=investattentwarnriskyMain" TargetMode="External"/><Relationship Id="rId47" Type="http://schemas.openxmlformats.org/officeDocument/2006/relationships/hyperlink" Target="https://kind.krx.co.kr/investwarn/investattentwarnrisky.do?method=investattentwarnriskyMain" TargetMode="External"/><Relationship Id="rId50" Type="http://schemas.openxmlformats.org/officeDocument/2006/relationships/hyperlink" Target="https://kind.krx.co.kr/investwarn/investattentwarnrisky.do?method=investattentwarnriskyMain" TargetMode="External"/><Relationship Id="rId7" Type="http://schemas.openxmlformats.org/officeDocument/2006/relationships/hyperlink" Target="https://kind.krx.co.kr/investwarn/investattentwarnrisky.do?method=investattentwarnriskyMain" TargetMode="External"/><Relationship Id="rId2" Type="http://schemas.openxmlformats.org/officeDocument/2006/relationships/hyperlink" Target="https://kind.krx.co.kr/investwarn/investattentwarnrisky.do?method=investattentwarnriskyMain" TargetMode="External"/><Relationship Id="rId16" Type="http://schemas.openxmlformats.org/officeDocument/2006/relationships/hyperlink" Target="https://kind.krx.co.kr/investwarn/investattentwarnrisky.do?method=investattentwarnriskyMain" TargetMode="External"/><Relationship Id="rId29" Type="http://schemas.openxmlformats.org/officeDocument/2006/relationships/hyperlink" Target="https://kind.krx.co.kr/investwarn/investattentwarnrisky.do?method=investattentwarnriskyMain" TargetMode="External"/><Relationship Id="rId11" Type="http://schemas.openxmlformats.org/officeDocument/2006/relationships/hyperlink" Target="https://kind.krx.co.kr/investwarn/investattentwarnrisky.do?method=investattentwarnriskyMain" TargetMode="External"/><Relationship Id="rId24" Type="http://schemas.openxmlformats.org/officeDocument/2006/relationships/hyperlink" Target="https://kind.krx.co.kr/investwarn/investattentwarnrisky.do?method=investattentwarnriskyMain" TargetMode="External"/><Relationship Id="rId32" Type="http://schemas.openxmlformats.org/officeDocument/2006/relationships/hyperlink" Target="https://kind.krx.co.kr/investwarn/investattentwarnrisky.do?method=investattentwarnriskyMain" TargetMode="External"/><Relationship Id="rId37" Type="http://schemas.openxmlformats.org/officeDocument/2006/relationships/hyperlink" Target="https://kind.krx.co.kr/investwarn/investattentwarnrisky.do?method=investattentwarnriskyMain" TargetMode="External"/><Relationship Id="rId40" Type="http://schemas.openxmlformats.org/officeDocument/2006/relationships/hyperlink" Target="https://kind.krx.co.kr/investwarn/investattentwarnrisky.do?method=investattentwarnriskyMain" TargetMode="External"/><Relationship Id="rId45" Type="http://schemas.openxmlformats.org/officeDocument/2006/relationships/hyperlink" Target="https://kind.krx.co.kr/investwarn/investattentwarnrisky.do?method=investattentwarnriskyMain" TargetMode="External"/><Relationship Id="rId5" Type="http://schemas.openxmlformats.org/officeDocument/2006/relationships/hyperlink" Target="https://kind.krx.co.kr/investwarn/investattentwarnrisky.do?method=investattentwarnriskyMain" TargetMode="External"/><Relationship Id="rId15" Type="http://schemas.openxmlformats.org/officeDocument/2006/relationships/hyperlink" Target="https://kind.krx.co.kr/investwarn/investattentwarnrisky.do?method=investattentwarnriskyMain" TargetMode="External"/><Relationship Id="rId23" Type="http://schemas.openxmlformats.org/officeDocument/2006/relationships/hyperlink" Target="https://kind.krx.co.kr/investwarn/investattentwarnrisky.do?method=investattentwarnriskyMain" TargetMode="External"/><Relationship Id="rId28" Type="http://schemas.openxmlformats.org/officeDocument/2006/relationships/hyperlink" Target="https://kind.krx.co.kr/investwarn/investattentwarnrisky.do?method=investattentwarnriskyMain" TargetMode="External"/><Relationship Id="rId36" Type="http://schemas.openxmlformats.org/officeDocument/2006/relationships/hyperlink" Target="https://kind.krx.co.kr/investwarn/investattentwarnrisky.do?method=investattentwarnriskyMain" TargetMode="External"/><Relationship Id="rId49" Type="http://schemas.openxmlformats.org/officeDocument/2006/relationships/hyperlink" Target="https://kind.krx.co.kr/investwarn/investattentwarnrisky.do?method=investattentwarnriskyMain" TargetMode="External"/><Relationship Id="rId10" Type="http://schemas.openxmlformats.org/officeDocument/2006/relationships/hyperlink" Target="https://kind.krx.co.kr/investwarn/investattentwarnrisky.do?method=investattentwarnriskyMain" TargetMode="External"/><Relationship Id="rId19" Type="http://schemas.openxmlformats.org/officeDocument/2006/relationships/hyperlink" Target="https://kind.krx.co.kr/investwarn/investattentwarnrisky.do?method=investattentwarnriskyMain" TargetMode="External"/><Relationship Id="rId31" Type="http://schemas.openxmlformats.org/officeDocument/2006/relationships/hyperlink" Target="https://kind.krx.co.kr/investwarn/investattentwarnrisky.do?method=investattentwarnriskyMain" TargetMode="External"/><Relationship Id="rId44" Type="http://schemas.openxmlformats.org/officeDocument/2006/relationships/hyperlink" Target="https://kind.krx.co.kr/investwarn/investattentwarnrisky.do?method=investattentwarnriskyMain" TargetMode="External"/><Relationship Id="rId52" Type="http://schemas.openxmlformats.org/officeDocument/2006/relationships/hyperlink" Target="https://kind.krx.co.kr/investwarn/investattentwarnrisky.do?method=investattentwarnriskyMain" TargetMode="External"/><Relationship Id="rId4" Type="http://schemas.openxmlformats.org/officeDocument/2006/relationships/hyperlink" Target="https://kind.krx.co.kr/investwarn/investattentwarnrisky.do?method=investattentwarnriskyMain" TargetMode="External"/><Relationship Id="rId9" Type="http://schemas.openxmlformats.org/officeDocument/2006/relationships/hyperlink" Target="https://kind.krx.co.kr/investwarn/investattentwarnrisky.do?method=investattentwarnriskyMain" TargetMode="External"/><Relationship Id="rId14" Type="http://schemas.openxmlformats.org/officeDocument/2006/relationships/hyperlink" Target="https://kind.krx.co.kr/investwarn/investattentwarnrisky.do?method=investattentwarnriskyMain" TargetMode="External"/><Relationship Id="rId22" Type="http://schemas.openxmlformats.org/officeDocument/2006/relationships/hyperlink" Target="https://kind.krx.co.kr/investwarn/investattentwarnrisky.do?method=investattentwarnriskyMain" TargetMode="External"/><Relationship Id="rId27" Type="http://schemas.openxmlformats.org/officeDocument/2006/relationships/hyperlink" Target="https://kind.krx.co.kr/investwarn/investattentwarnrisky.do?method=investattentwarnriskyMain" TargetMode="External"/><Relationship Id="rId30" Type="http://schemas.openxmlformats.org/officeDocument/2006/relationships/hyperlink" Target="https://kind.krx.co.kr/investwarn/investattentwarnrisky.do?method=investattentwarnriskyMain" TargetMode="External"/><Relationship Id="rId35" Type="http://schemas.openxmlformats.org/officeDocument/2006/relationships/hyperlink" Target="https://kind.krx.co.kr/investwarn/investattentwarnrisky.do?method=investattentwarnriskyMain" TargetMode="External"/><Relationship Id="rId43" Type="http://schemas.openxmlformats.org/officeDocument/2006/relationships/hyperlink" Target="https://kind.krx.co.kr/investwarn/investattentwarnrisky.do?method=investattentwarnriskyMain" TargetMode="External"/><Relationship Id="rId48" Type="http://schemas.openxmlformats.org/officeDocument/2006/relationships/hyperlink" Target="https://kind.krx.co.kr/investwarn/investattentwarnrisky.do?method=investattentwarnriskyMain" TargetMode="External"/><Relationship Id="rId8" Type="http://schemas.openxmlformats.org/officeDocument/2006/relationships/hyperlink" Target="https://kind.krx.co.kr/investwarn/investattentwarnrisky.do?method=investattentwarnriskyMain" TargetMode="External"/><Relationship Id="rId51" Type="http://schemas.openxmlformats.org/officeDocument/2006/relationships/hyperlink" Target="https://kind.krx.co.kr/investwarn/investattentwarnrisky.do?method=investattentwarnriskyMain" TargetMode="External"/><Relationship Id="rId3" Type="http://schemas.openxmlformats.org/officeDocument/2006/relationships/hyperlink" Target="https://kind.krx.co.kr/investwarn/investattentwarnrisky.do?method=investattentwarnriskyMain" TargetMode="External"/><Relationship Id="rId12" Type="http://schemas.openxmlformats.org/officeDocument/2006/relationships/hyperlink" Target="https://kind.krx.co.kr/investwarn/investattentwarnrisky.do?method=investattentwarnriskyMain" TargetMode="External"/><Relationship Id="rId17" Type="http://schemas.openxmlformats.org/officeDocument/2006/relationships/hyperlink" Target="https://kind.krx.co.kr/investwarn/investattentwarnrisky.do?method=investattentwarnriskyMain" TargetMode="External"/><Relationship Id="rId25" Type="http://schemas.openxmlformats.org/officeDocument/2006/relationships/hyperlink" Target="https://kind.krx.co.kr/investwarn/investattentwarnrisky.do?method=investattentwarnriskyMain" TargetMode="External"/><Relationship Id="rId33" Type="http://schemas.openxmlformats.org/officeDocument/2006/relationships/hyperlink" Target="https://kind.krx.co.kr/investwarn/investattentwarnrisky.do?method=investattentwarnriskyMain" TargetMode="External"/><Relationship Id="rId38" Type="http://schemas.openxmlformats.org/officeDocument/2006/relationships/hyperlink" Target="https://kind.krx.co.kr/investwarn/investattentwarnrisky.do?method=investattentwarnriskyMain" TargetMode="External"/><Relationship Id="rId46" Type="http://schemas.openxmlformats.org/officeDocument/2006/relationships/hyperlink" Target="https://kind.krx.co.kr/investwarn/investattentwarnrisky.do?method=investattentwarnriskyMain" TargetMode="External"/><Relationship Id="rId20" Type="http://schemas.openxmlformats.org/officeDocument/2006/relationships/hyperlink" Target="https://kind.krx.co.kr/investwarn/investattentwarnrisky.do?method=investattentwarnriskyMain" TargetMode="External"/><Relationship Id="rId41" Type="http://schemas.openxmlformats.org/officeDocument/2006/relationships/hyperlink" Target="https://kind.krx.co.kr/investwarn/investattentwarnrisky.do?method=investattentwarnriskyMain" TargetMode="External"/><Relationship Id="rId1" Type="http://schemas.openxmlformats.org/officeDocument/2006/relationships/hyperlink" Target="https://kind.krx.co.kr/investwarn/investattentwarnrisky.do?method=investattentwarnriskyMain" TargetMode="External"/><Relationship Id="rId6" Type="http://schemas.openxmlformats.org/officeDocument/2006/relationships/hyperlink" Target="https://kind.krx.co.kr/investwarn/investattentwarnrisky.do?method=investattentwarnriskyMa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emf"/><Relationship Id="rId13" Type="http://schemas.openxmlformats.org/officeDocument/2006/relationships/control" Target="../activeX/activeX5.xml"/><Relationship Id="rId3" Type="http://schemas.openxmlformats.org/officeDocument/2006/relationships/drawing" Target="../drawings/drawing5.xml"/><Relationship Id="rId7" Type="http://schemas.openxmlformats.org/officeDocument/2006/relationships/control" Target="../activeX/activeX2.xml"/><Relationship Id="rId12" Type="http://schemas.openxmlformats.org/officeDocument/2006/relationships/image" Target="../media/image36.emf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stats.oecd.org/OECDStat_Metadata/ShowMetadata.ashx?Dataset=MEI_CLI&amp;Coords=%5bSUBJECT%5d.%5bLOLITOAA%5d&amp;ShowOnWeb=true&amp;Lang=en" TargetMode="External"/><Relationship Id="rId6" Type="http://schemas.openxmlformats.org/officeDocument/2006/relationships/image" Target="../media/image33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0" Type="http://schemas.openxmlformats.org/officeDocument/2006/relationships/image" Target="../media/image35.emf"/><Relationship Id="rId4" Type="http://schemas.openxmlformats.org/officeDocument/2006/relationships/vmlDrawing" Target="../drawings/vmlDrawing2.vml"/><Relationship Id="rId9" Type="http://schemas.openxmlformats.org/officeDocument/2006/relationships/control" Target="../activeX/activeX3.xml"/><Relationship Id="rId14" Type="http://schemas.openxmlformats.org/officeDocument/2006/relationships/image" Target="../media/image37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new.fearnpulse.com/fearnleys-weekly-report" TargetMode="External"/><Relationship Id="rId13" Type="http://schemas.openxmlformats.org/officeDocument/2006/relationships/hyperlink" Target="https://www.amazon.com/Best-Sellers-Beauty-Personal-Care-Facial-Serums/zgbs/beauty/7792528011/ref=zg_bs_nav_beauty_4_11062031" TargetMode="External"/><Relationship Id="rId3" Type="http://schemas.openxmlformats.org/officeDocument/2006/relationships/hyperlink" Target="https://fred.stlouisfed.org/series/WPU117409" TargetMode="External"/><Relationship Id="rId7" Type="http://schemas.openxmlformats.org/officeDocument/2006/relationships/hyperlink" Target="https://medium.com/@mingchikuo" TargetMode="External"/><Relationship Id="rId12" Type="http://schemas.openxmlformats.org/officeDocument/2006/relationships/hyperlink" Target="https://www.shilladfs.com/estore/kr/ko/ranking" TargetMode="External"/><Relationship Id="rId2" Type="http://schemas.openxmlformats.org/officeDocument/2006/relationships/hyperlink" Target="https://xny.mysteel.com/" TargetMode="External"/><Relationship Id="rId1" Type="http://schemas.openxmlformats.org/officeDocument/2006/relationships/hyperlink" Target="http://www.sunsirs.com/kr/sectors-11.html" TargetMode="External"/><Relationship Id="rId6" Type="http://schemas.openxmlformats.org/officeDocument/2006/relationships/hyperlink" Target="https://investor.tsmc.com/english/monthly-revenue/2023" TargetMode="External"/><Relationship Id="rId11" Type="http://schemas.openxmlformats.org/officeDocument/2006/relationships/hyperlink" Target="https://www.oliveyoung.co.kr/store/main/getBestList.do?dispCatNo=900000100100001&amp;fltDispCatNo=10000010001&amp;pageIdx=1&amp;rowsPerPage=8&amp;t_page=%EB%9E%AD%ED%82%B9&amp;t_click=%ED%8C%90%EB%A7%A4%EB%9E%AD%ED%82%B9_%EC%8A%A4%ED%82%A8%EC%BC%80%EC%96%B4" TargetMode="External"/><Relationship Id="rId5" Type="http://schemas.openxmlformats.org/officeDocument/2006/relationships/hyperlink" Target="https://www.eclat.com.tw/zh-tw/investors/financials/" TargetMode="External"/><Relationship Id="rId15" Type="http://schemas.openxmlformats.org/officeDocument/2006/relationships/hyperlink" Target="https://www.bgmea.com.bd/page/Export_Performance" TargetMode="External"/><Relationship Id="rId10" Type="http://schemas.openxmlformats.org/officeDocument/2006/relationships/hyperlink" Target="https://www.jnto.go.jp/statistics/data/visitors-statistics/" TargetMode="External"/><Relationship Id="rId4" Type="http://schemas.openxmlformats.org/officeDocument/2006/relationships/hyperlink" Target="https://www.makalot.com.tw/investor/financial/financial-reports" TargetMode="External"/><Relationship Id="rId9" Type="http://schemas.openxmlformats.org/officeDocument/2006/relationships/hyperlink" Target="https://www.novatek.com.tw/en-global/IR_info/ir_monthlysales" TargetMode="External"/><Relationship Id="rId14" Type="http://schemas.openxmlformats.org/officeDocument/2006/relationships/hyperlink" Target="https://www.ccfgroup.com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rt.fss.or.kr/dsaf001/main.do?rcpNo=20221130800343" TargetMode="External"/><Relationship Id="rId21" Type="http://schemas.openxmlformats.org/officeDocument/2006/relationships/hyperlink" Target="https://dart.fss.or.kr/dsaf001/main.do?rcpNo=20230630800338" TargetMode="External"/><Relationship Id="rId324" Type="http://schemas.openxmlformats.org/officeDocument/2006/relationships/hyperlink" Target="http://dart.fss.or.kr/dsaf001/main.do?rcpNo=20210125800670" TargetMode="External"/><Relationship Id="rId531" Type="http://schemas.openxmlformats.org/officeDocument/2006/relationships/hyperlink" Target="https://dart.fss.or.kr/dsaf001/main.do?rcpNo=20240830800385" TargetMode="External"/><Relationship Id="rId170" Type="http://schemas.openxmlformats.org/officeDocument/2006/relationships/hyperlink" Target="https://dart.fss.or.kr/dsaf001/main.do?rcpNo=20220304901100" TargetMode="External"/><Relationship Id="rId268" Type="http://schemas.openxmlformats.org/officeDocument/2006/relationships/hyperlink" Target="http://dart.fss.or.kr/dsaf001/main.do?rcpNo=20210831900388" TargetMode="External"/><Relationship Id="rId475" Type="http://schemas.openxmlformats.org/officeDocument/2006/relationships/hyperlink" Target="https://dart.fss.or.kr/dsaf001/main.do?rcpNo=20240221900209" TargetMode="External"/><Relationship Id="rId32" Type="http://schemas.openxmlformats.org/officeDocument/2006/relationships/hyperlink" Target="https://dart.fss.or.kr/dsaf001/main.do?rcpNo=20230609900372" TargetMode="External"/><Relationship Id="rId128" Type="http://schemas.openxmlformats.org/officeDocument/2006/relationships/hyperlink" Target="https://dart.fss.or.kr/dsaf001/main.do?rcpNo=20221031900320" TargetMode="External"/><Relationship Id="rId335" Type="http://schemas.openxmlformats.org/officeDocument/2006/relationships/hyperlink" Target="http://dart.fss.or.kr/dsaf001/main.do?rcpNo=20201215801080" TargetMode="External"/><Relationship Id="rId181" Type="http://schemas.openxmlformats.org/officeDocument/2006/relationships/hyperlink" Target="https://dart.fss.or.kr/dsaf001/main.do?rcpNo=20220531800570" TargetMode="External"/><Relationship Id="rId402" Type="http://schemas.openxmlformats.org/officeDocument/2006/relationships/hyperlink" Target="http://dart.fss.or.kr/dsaf001/main.do?rcpNo=20200116800394" TargetMode="External"/><Relationship Id="rId279" Type="http://schemas.openxmlformats.org/officeDocument/2006/relationships/hyperlink" Target="http://dart.fss.or.kr/dsaf001/main.do?rcpNo=20210714800145" TargetMode="External"/><Relationship Id="rId444" Type="http://schemas.openxmlformats.org/officeDocument/2006/relationships/hyperlink" Target="https://dart.fss.or.kr/dsaf001/main.do?rcpNo=20231016900102" TargetMode="External"/><Relationship Id="rId486" Type="http://schemas.openxmlformats.org/officeDocument/2006/relationships/hyperlink" Target="https://dart.fss.or.kr/dsaf001/main.do?rcpNo=20240321801878" TargetMode="External"/><Relationship Id="rId43" Type="http://schemas.openxmlformats.org/officeDocument/2006/relationships/hyperlink" Target="https://dart.fss.or.kr/dsaf001/main.do?rcpNo=20230531800789" TargetMode="External"/><Relationship Id="rId139" Type="http://schemas.openxmlformats.org/officeDocument/2006/relationships/hyperlink" Target="https://dart.fss.or.kr/dsaf001/main.do?rcpNo=20220927800632" TargetMode="External"/><Relationship Id="rId290" Type="http://schemas.openxmlformats.org/officeDocument/2006/relationships/hyperlink" Target="http://dart.fss.or.kr/dsaf001/main.do?rcpNo=20210623800480" TargetMode="External"/><Relationship Id="rId304" Type="http://schemas.openxmlformats.org/officeDocument/2006/relationships/hyperlink" Target="http://dart.fss.or.kr/dsaf001/main.do?rcpNo=20210419900655" TargetMode="External"/><Relationship Id="rId346" Type="http://schemas.openxmlformats.org/officeDocument/2006/relationships/hyperlink" Target="http://dart.fss.or.kr/dsaf001/main.do?rcpNo=20201104900482" TargetMode="External"/><Relationship Id="rId388" Type="http://schemas.openxmlformats.org/officeDocument/2006/relationships/hyperlink" Target="http://dart.fss.or.kr/dsaf001/main.do?rcpNo=20200228800945" TargetMode="External"/><Relationship Id="rId511" Type="http://schemas.openxmlformats.org/officeDocument/2006/relationships/hyperlink" Target="https://dart.fss.or.kr/dsaf001/main.do?rcpNo=20240704900405" TargetMode="External"/><Relationship Id="rId85" Type="http://schemas.openxmlformats.org/officeDocument/2006/relationships/hyperlink" Target="https://dart.fss.or.kr/dsaf001/main.do?rcpNo=20230308800325" TargetMode="External"/><Relationship Id="rId150" Type="http://schemas.openxmlformats.org/officeDocument/2006/relationships/hyperlink" Target="https://dart.fss.or.kr/dsaf001/main.do?rcpNo=20240808900289" TargetMode="External"/><Relationship Id="rId192" Type="http://schemas.openxmlformats.org/officeDocument/2006/relationships/hyperlink" Target="https://dart.fss.or.kr/dsaf001/main.do?rcpNo=20220428900117" TargetMode="External"/><Relationship Id="rId206" Type="http://schemas.openxmlformats.org/officeDocument/2006/relationships/hyperlink" Target="https://dart.fss.or.kr/dsaf001/main.do?rcpNo=20220330802288" TargetMode="External"/><Relationship Id="rId413" Type="http://schemas.openxmlformats.org/officeDocument/2006/relationships/hyperlink" Target="http://dart.fss.or.kr/dsaf001/main.do?rcpNo=20191111800421" TargetMode="External"/><Relationship Id="rId248" Type="http://schemas.openxmlformats.org/officeDocument/2006/relationships/hyperlink" Target="http://dart.fss.or.kr/dsaf001/main.do?rcpNo=20210217800458" TargetMode="External"/><Relationship Id="rId455" Type="http://schemas.openxmlformats.org/officeDocument/2006/relationships/hyperlink" Target="https://dart.fss.or.kr/dsaf001/main.do?rcpNo=20231127800265" TargetMode="External"/><Relationship Id="rId497" Type="http://schemas.openxmlformats.org/officeDocument/2006/relationships/hyperlink" Target="http://dart.fss.or.kr/dsaf001/main.do?rcpNo=20240513800204" TargetMode="External"/><Relationship Id="rId12" Type="http://schemas.openxmlformats.org/officeDocument/2006/relationships/hyperlink" Target="https://dart.fss.or.kr/dsaf001/main.do?rcpNo=20230725900226" TargetMode="External"/><Relationship Id="rId108" Type="http://schemas.openxmlformats.org/officeDocument/2006/relationships/hyperlink" Target="https://dart.fss.or.kr/dsaf001/main.do?rcpNo=20221222900378" TargetMode="External"/><Relationship Id="rId315" Type="http://schemas.openxmlformats.org/officeDocument/2006/relationships/hyperlink" Target="http://dart.fss.or.kr/dsaf001/main.do?rcpNo=20210226800353" TargetMode="External"/><Relationship Id="rId357" Type="http://schemas.openxmlformats.org/officeDocument/2006/relationships/hyperlink" Target="http://dart.fss.or.kr/dsaf001/main.do?rcpNo=20200922900356" TargetMode="External"/><Relationship Id="rId522" Type="http://schemas.openxmlformats.org/officeDocument/2006/relationships/hyperlink" Target="https://dart.fss.or.kr/dsaf001/main.do?rcpNo=20231020900208" TargetMode="External"/><Relationship Id="rId54" Type="http://schemas.openxmlformats.org/officeDocument/2006/relationships/hyperlink" Target="https://dart.fss.or.kr/dsaf001/main.do?rcpNo=20230927900366" TargetMode="External"/><Relationship Id="rId96" Type="http://schemas.openxmlformats.org/officeDocument/2006/relationships/hyperlink" Target="https://dart.fss.or.kr/dsaf001/main.do?rcpNo=20230116800605" TargetMode="External"/><Relationship Id="rId161" Type="http://schemas.openxmlformats.org/officeDocument/2006/relationships/hyperlink" Target="https://dart.fss.or.kr/dsaf001/main.do?rcpNo=20220726800230" TargetMode="External"/><Relationship Id="rId217" Type="http://schemas.openxmlformats.org/officeDocument/2006/relationships/hyperlink" Target="https://dart.fss.or.kr/dsaf001/main.do?rcpNo=20220126800533" TargetMode="External"/><Relationship Id="rId399" Type="http://schemas.openxmlformats.org/officeDocument/2006/relationships/hyperlink" Target="http://dart.fss.or.kr/dsaf001/main.do?rcpNo=20200130900293" TargetMode="External"/><Relationship Id="rId259" Type="http://schemas.openxmlformats.org/officeDocument/2006/relationships/hyperlink" Target="http://dart.fss.or.kr/dsaf001/main.do?rcpNo=20210908900240" TargetMode="External"/><Relationship Id="rId424" Type="http://schemas.openxmlformats.org/officeDocument/2006/relationships/hyperlink" Target="http://dart.fss.or.kr/dsaf001/main.do?rcpNo=20190725800545" TargetMode="External"/><Relationship Id="rId466" Type="http://schemas.openxmlformats.org/officeDocument/2006/relationships/hyperlink" Target="https://dart.fss.or.kr/dsaf001/main.do?rcpNo=20231219800470" TargetMode="External"/><Relationship Id="rId23" Type="http://schemas.openxmlformats.org/officeDocument/2006/relationships/hyperlink" Target="https://dart.fss.or.kr/dsaf001/main.do?rcpNo=20240627900314" TargetMode="External"/><Relationship Id="rId119" Type="http://schemas.openxmlformats.org/officeDocument/2006/relationships/hyperlink" Target="https://dart.fss.or.kr/dsaf001/main.do?rcpNo=20221125900324" TargetMode="External"/><Relationship Id="rId270" Type="http://schemas.openxmlformats.org/officeDocument/2006/relationships/hyperlink" Target="http://dart.fss.or.kr/dsaf001/main.do?rcpNo=20210826800264" TargetMode="External"/><Relationship Id="rId326" Type="http://schemas.openxmlformats.org/officeDocument/2006/relationships/hyperlink" Target="http://dart.fss.or.kr/dsaf001/main.do?rcpNo=20210118800203" TargetMode="External"/><Relationship Id="rId533" Type="http://schemas.openxmlformats.org/officeDocument/2006/relationships/hyperlink" Target="https://dart.fss.or.kr/dsaf001/main.do?rcpNo=20240905900387" TargetMode="External"/><Relationship Id="rId65" Type="http://schemas.openxmlformats.org/officeDocument/2006/relationships/hyperlink" Target="https://dart.fss.or.kr/dsaf001/main.do?rcpNo=20230406800480" TargetMode="External"/><Relationship Id="rId130" Type="http://schemas.openxmlformats.org/officeDocument/2006/relationships/hyperlink" Target="https://dart.fss.or.kr/dsaf001/main.do?rcpNo=20221031900282" TargetMode="External"/><Relationship Id="rId368" Type="http://schemas.openxmlformats.org/officeDocument/2006/relationships/hyperlink" Target="http://dart.fss.or.kr/dsaf001/main.do?rcpNo=20200721900004" TargetMode="External"/><Relationship Id="rId172" Type="http://schemas.openxmlformats.org/officeDocument/2006/relationships/hyperlink" Target="https://dart.fss.or.kr/dsaf001/main.do?rcpNo=20220630900539" TargetMode="External"/><Relationship Id="rId228" Type="http://schemas.openxmlformats.org/officeDocument/2006/relationships/hyperlink" Target="https://dart.fss.or.kr/dsaf001/main.do?rcpNo=20211230900888" TargetMode="External"/><Relationship Id="rId435" Type="http://schemas.openxmlformats.org/officeDocument/2006/relationships/hyperlink" Target="https://dart.fss.or.kr/dsaf001/main.do?rcpNo=20230906900266" TargetMode="External"/><Relationship Id="rId477" Type="http://schemas.openxmlformats.org/officeDocument/2006/relationships/hyperlink" Target="https://dart.fss.or.kr/dsaf001/main.do?rcpNo=20240228900670" TargetMode="External"/><Relationship Id="rId281" Type="http://schemas.openxmlformats.org/officeDocument/2006/relationships/hyperlink" Target="http://dart.fss.or.kr/dsaf001/main.do?rcpNo=20210621900333" TargetMode="External"/><Relationship Id="rId337" Type="http://schemas.openxmlformats.org/officeDocument/2006/relationships/hyperlink" Target="http://dart.fss.or.kr/dsaf001/main.do?rcpNo=20201207900267" TargetMode="External"/><Relationship Id="rId502" Type="http://schemas.openxmlformats.org/officeDocument/2006/relationships/hyperlink" Target="https://dart.fss.or.kr/dsaf001/main.do?rcpNo=20240605800455" TargetMode="External"/><Relationship Id="rId34" Type="http://schemas.openxmlformats.org/officeDocument/2006/relationships/hyperlink" Target="https://dart.fss.or.kr/dsaf001/main.do?rcpNo=20230608900393" TargetMode="External"/><Relationship Id="rId76" Type="http://schemas.openxmlformats.org/officeDocument/2006/relationships/hyperlink" Target="http://dart.fss.or.kr/dsaf001/main.do?rcpNo=20230331902751" TargetMode="External"/><Relationship Id="rId141" Type="http://schemas.openxmlformats.org/officeDocument/2006/relationships/hyperlink" Target="https://dart.fss.or.kr/dsaf001/main.do?rcpNo=20231211900744" TargetMode="External"/><Relationship Id="rId379" Type="http://schemas.openxmlformats.org/officeDocument/2006/relationships/hyperlink" Target="http://dart.fss.or.kr/dsaf001/main.do?rcpNo=20200429900188" TargetMode="External"/><Relationship Id="rId7" Type="http://schemas.openxmlformats.org/officeDocument/2006/relationships/hyperlink" Target="https://dart.fss.or.kr/dsaf001/main.do?rcpNo=20230808900194" TargetMode="External"/><Relationship Id="rId183" Type="http://schemas.openxmlformats.org/officeDocument/2006/relationships/hyperlink" Target="https://dart.fss.or.kr/dsaf001/main.do?rcpNo=20220527900571" TargetMode="External"/><Relationship Id="rId239" Type="http://schemas.openxmlformats.org/officeDocument/2006/relationships/hyperlink" Target="http://dart.fss.or.kr/dsaf001/main.do?rcpNo=20211124900177" TargetMode="External"/><Relationship Id="rId390" Type="http://schemas.openxmlformats.org/officeDocument/2006/relationships/hyperlink" Target="http://dart.fss.or.kr/dsaf001/main.do?rcpNo=20200227900356" TargetMode="External"/><Relationship Id="rId404" Type="http://schemas.openxmlformats.org/officeDocument/2006/relationships/hyperlink" Target="http://dart.fss.or.kr/dsaf001/main.do?rcpNo=20200525900283" TargetMode="External"/><Relationship Id="rId446" Type="http://schemas.openxmlformats.org/officeDocument/2006/relationships/hyperlink" Target="https://dart.fss.or.kr/dsaf001/main.do?rcpNo=20231023900376" TargetMode="External"/><Relationship Id="rId250" Type="http://schemas.openxmlformats.org/officeDocument/2006/relationships/hyperlink" Target="http://dart.fss.or.kr/dsaf001/main.do?rcpNo=20211020900115" TargetMode="External"/><Relationship Id="rId292" Type="http://schemas.openxmlformats.org/officeDocument/2006/relationships/hyperlink" Target="http://dart.fss.or.kr/dsaf001/main.do?rcpNo=20210617900485" TargetMode="External"/><Relationship Id="rId306" Type="http://schemas.openxmlformats.org/officeDocument/2006/relationships/hyperlink" Target="http://dart.fss.or.kr/dsaf001/main.do?rcpNo=20210405900370" TargetMode="External"/><Relationship Id="rId488" Type="http://schemas.openxmlformats.org/officeDocument/2006/relationships/hyperlink" Target="https://dart.fss.or.kr/dsaf001/main.do?rcpNo=20240408900192" TargetMode="External"/><Relationship Id="rId45" Type="http://schemas.openxmlformats.org/officeDocument/2006/relationships/hyperlink" Target="https://dart.fss.or.kr/dsaf001/main.do?rcpNo=20230524900380" TargetMode="External"/><Relationship Id="rId87" Type="http://schemas.openxmlformats.org/officeDocument/2006/relationships/hyperlink" Target="https://dart.fss.or.kr/dsaf001/main.do?rcpNo=20230228900646" TargetMode="External"/><Relationship Id="rId110" Type="http://schemas.openxmlformats.org/officeDocument/2006/relationships/hyperlink" Target="https://dart.fss.or.kr/dsaf001/main.do?rcpNo=20221219800219" TargetMode="External"/><Relationship Id="rId348" Type="http://schemas.openxmlformats.org/officeDocument/2006/relationships/hyperlink" Target="http://dart.fss.or.kr/dsaf001/main.do?rcpNo=20201020800136" TargetMode="External"/><Relationship Id="rId513" Type="http://schemas.openxmlformats.org/officeDocument/2006/relationships/hyperlink" Target="https://dart.fss.or.kr/dsaf001/main.do?rcpNo=20240708900249" TargetMode="External"/><Relationship Id="rId152" Type="http://schemas.openxmlformats.org/officeDocument/2006/relationships/hyperlink" Target="https://dart.fss.or.kr/dsaf001/main.do?rcpNo=20220822900118" TargetMode="External"/><Relationship Id="rId194" Type="http://schemas.openxmlformats.org/officeDocument/2006/relationships/hyperlink" Target="https://dart.fss.or.kr/dsaf001/main.do?rcpNo=20220425900210" TargetMode="External"/><Relationship Id="rId208" Type="http://schemas.openxmlformats.org/officeDocument/2006/relationships/hyperlink" Target="https://dart.fss.or.kr/dsaf001/main.do?rcpNo=20220310900420" TargetMode="External"/><Relationship Id="rId415" Type="http://schemas.openxmlformats.org/officeDocument/2006/relationships/hyperlink" Target="http://dart.fss.or.kr/dsaf001/main.do?rcpNo=20191031900497" TargetMode="External"/><Relationship Id="rId457" Type="http://schemas.openxmlformats.org/officeDocument/2006/relationships/hyperlink" Target="https://dart.fss.or.kr/dsaf001/main.do?rcpNo=20240610900500" TargetMode="External"/><Relationship Id="rId261" Type="http://schemas.openxmlformats.org/officeDocument/2006/relationships/hyperlink" Target="http://dart.fss.or.kr/dsaf001/main.do?rcpNo=20210908900283" TargetMode="External"/><Relationship Id="rId499" Type="http://schemas.openxmlformats.org/officeDocument/2006/relationships/hyperlink" Target="http://dart.fss.or.kr/dsaf001/main.do?rcpNo=20240529900110" TargetMode="External"/><Relationship Id="rId14" Type="http://schemas.openxmlformats.org/officeDocument/2006/relationships/hyperlink" Target="https://dart.fss.or.kr/dsaf001/main.do?rcpNo=20230724800112" TargetMode="External"/><Relationship Id="rId56" Type="http://schemas.openxmlformats.org/officeDocument/2006/relationships/hyperlink" Target="https://dart.fss.or.kr/dsaf001/main.do?rcpNo=20230428900648" TargetMode="External"/><Relationship Id="rId317" Type="http://schemas.openxmlformats.org/officeDocument/2006/relationships/hyperlink" Target="http://dart.fss.or.kr/dsaf001/main.do?rcpNo=20210224900428" TargetMode="External"/><Relationship Id="rId359" Type="http://schemas.openxmlformats.org/officeDocument/2006/relationships/hyperlink" Target="http://dart.fss.or.kr/dsaf001/main.do?rcpNo=20200828900120" TargetMode="External"/><Relationship Id="rId524" Type="http://schemas.openxmlformats.org/officeDocument/2006/relationships/hyperlink" Target="https://dart.fss.or.kr/dsaf001/main.do?rcpNo=20240813900335" TargetMode="External"/><Relationship Id="rId98" Type="http://schemas.openxmlformats.org/officeDocument/2006/relationships/hyperlink" Target="https://dart.fss.or.kr/dsaf001/main.do?rcpNo=20230914900106" TargetMode="External"/><Relationship Id="rId121" Type="http://schemas.openxmlformats.org/officeDocument/2006/relationships/hyperlink" Target="http://dart.fss.or.kr/dsaf001/main.do?rcpNo=20210531800575" TargetMode="External"/><Relationship Id="rId163" Type="http://schemas.openxmlformats.org/officeDocument/2006/relationships/hyperlink" Target="https://dart.fss.or.kr/dsaf001/main.do?rcpNo=20220721900157" TargetMode="External"/><Relationship Id="rId219" Type="http://schemas.openxmlformats.org/officeDocument/2006/relationships/hyperlink" Target="https://dart.fss.or.kr/dsaf001/main.do?rcpNo=20220125900302" TargetMode="External"/><Relationship Id="rId370" Type="http://schemas.openxmlformats.org/officeDocument/2006/relationships/hyperlink" Target="http://dart.fss.or.kr/dsaf001/main.do?rcpNo=20200714800143" TargetMode="External"/><Relationship Id="rId426" Type="http://schemas.openxmlformats.org/officeDocument/2006/relationships/hyperlink" Target="https://dart.fss.or.kr/dsaf001/main.do?rcpNo=20221012900172" TargetMode="External"/><Relationship Id="rId230" Type="http://schemas.openxmlformats.org/officeDocument/2006/relationships/hyperlink" Target="http://dart.fss.or.kr/dsaf001/main.do?rcpNo=20211223900229" TargetMode="External"/><Relationship Id="rId468" Type="http://schemas.openxmlformats.org/officeDocument/2006/relationships/hyperlink" Target="https://dart.fss.or.kr/dsaf001/main.do?rcpNo=20231220800591" TargetMode="External"/><Relationship Id="rId25" Type="http://schemas.openxmlformats.org/officeDocument/2006/relationships/hyperlink" Target="https://dart.fss.or.kr/dsaf001/main.do?rcpNo=20230626900174" TargetMode="External"/><Relationship Id="rId67" Type="http://schemas.openxmlformats.org/officeDocument/2006/relationships/hyperlink" Target="https://dart.fss.or.kr/dsaf001/main.do?rcpNo=20230331902428" TargetMode="External"/><Relationship Id="rId272" Type="http://schemas.openxmlformats.org/officeDocument/2006/relationships/hyperlink" Target="http://dart.fss.or.kr/dsaf001/main.do?rcpNo=20210819900091" TargetMode="External"/><Relationship Id="rId328" Type="http://schemas.openxmlformats.org/officeDocument/2006/relationships/hyperlink" Target="http://dart.fss.or.kr/dsaf001/main.do?rcpNo=20201230900505" TargetMode="External"/><Relationship Id="rId535" Type="http://schemas.openxmlformats.org/officeDocument/2006/relationships/hyperlink" Target="https://dart.fss.or.kr/dsaf001/main.do?rcpNo=20240920800553" TargetMode="External"/><Relationship Id="rId132" Type="http://schemas.openxmlformats.org/officeDocument/2006/relationships/hyperlink" Target="https://dart.fss.or.kr/dsaf001/main.do?rcpNo=20221025800377" TargetMode="External"/><Relationship Id="rId174" Type="http://schemas.openxmlformats.org/officeDocument/2006/relationships/hyperlink" Target="https://dart.fss.or.kr/dsaf001/main.do?rcpNo=20220628800210" TargetMode="External"/><Relationship Id="rId381" Type="http://schemas.openxmlformats.org/officeDocument/2006/relationships/hyperlink" Target="http://dart.fss.or.kr/dsaf001/main.do?rcpNo=20200423900200" TargetMode="External"/><Relationship Id="rId241" Type="http://schemas.openxmlformats.org/officeDocument/2006/relationships/hyperlink" Target="http://dart.fss.or.kr/dsaf001/main.do?rcpNo=20211122800242" TargetMode="External"/><Relationship Id="rId437" Type="http://schemas.openxmlformats.org/officeDocument/2006/relationships/hyperlink" Target="https://dart.fss.or.kr/dsaf001/main.do?rcpNo=20230908800166" TargetMode="External"/><Relationship Id="rId479" Type="http://schemas.openxmlformats.org/officeDocument/2006/relationships/hyperlink" Target="https://dart.fss.or.kr/dsaf001/main.do?rcpNo=20240617900351" TargetMode="External"/><Relationship Id="rId36" Type="http://schemas.openxmlformats.org/officeDocument/2006/relationships/hyperlink" Target="https://dart.fss.or.kr/dsaf001/main.do?rcpNo=20240705900347" TargetMode="External"/><Relationship Id="rId283" Type="http://schemas.openxmlformats.org/officeDocument/2006/relationships/hyperlink" Target="http://dart.fss.or.kr/dsaf001/main.do?rcpNo=20210630900395" TargetMode="External"/><Relationship Id="rId339" Type="http://schemas.openxmlformats.org/officeDocument/2006/relationships/hyperlink" Target="http://dart.fss.or.kr/dsaf001/main.do?rcpNo=20201201800446" TargetMode="External"/><Relationship Id="rId490" Type="http://schemas.openxmlformats.org/officeDocument/2006/relationships/hyperlink" Target="https://dart.fss.or.kr/dsaf001/main.do?rcpNo=20240419900281" TargetMode="External"/><Relationship Id="rId504" Type="http://schemas.openxmlformats.org/officeDocument/2006/relationships/hyperlink" Target="https://dart.fss.or.kr/dsaf001/main.do?rcpNo=20240610900175" TargetMode="External"/><Relationship Id="rId78" Type="http://schemas.openxmlformats.org/officeDocument/2006/relationships/hyperlink" Target="https://dart.fss.or.kr/dsaf001/main.do?rcpNo=20240627800817" TargetMode="External"/><Relationship Id="rId101" Type="http://schemas.openxmlformats.org/officeDocument/2006/relationships/hyperlink" Target="https://dart.fss.or.kr/dsaf001/main.do?rcpNo=20221230800119" TargetMode="External"/><Relationship Id="rId143" Type="http://schemas.openxmlformats.org/officeDocument/2006/relationships/hyperlink" Target="https://dart.fss.or.kr/dsaf001/main.do?rcpNo=20220902800512" TargetMode="External"/><Relationship Id="rId185" Type="http://schemas.openxmlformats.org/officeDocument/2006/relationships/hyperlink" Target="https://dart.fss.or.kr/dsaf001/main.do?rcpNo=20220527800171" TargetMode="External"/><Relationship Id="rId350" Type="http://schemas.openxmlformats.org/officeDocument/2006/relationships/hyperlink" Target="http://dart.fss.or.kr/dsaf001/main.do?rcpNo=20201012900218" TargetMode="External"/><Relationship Id="rId406" Type="http://schemas.openxmlformats.org/officeDocument/2006/relationships/hyperlink" Target="http://dart.fss.or.kr/dsaf001/main.do?rcpNo=20191230800402" TargetMode="External"/><Relationship Id="rId9" Type="http://schemas.openxmlformats.org/officeDocument/2006/relationships/hyperlink" Target="https://dart.fss.or.kr/dsaf001/main.do?rcpNo=20230626800279" TargetMode="External"/><Relationship Id="rId210" Type="http://schemas.openxmlformats.org/officeDocument/2006/relationships/hyperlink" Target="https://dart.fss.or.kr/dsaf001/main.do?rcpNo=20220302800940" TargetMode="External"/><Relationship Id="rId392" Type="http://schemas.openxmlformats.org/officeDocument/2006/relationships/hyperlink" Target="http://dart.fss.or.kr/dsaf001/main.do?rcpNo=20200226801099" TargetMode="External"/><Relationship Id="rId448" Type="http://schemas.openxmlformats.org/officeDocument/2006/relationships/hyperlink" Target="https://dart.fss.or.kr/dsaf001/main.do?rcpNo=20231027800211" TargetMode="External"/><Relationship Id="rId252" Type="http://schemas.openxmlformats.org/officeDocument/2006/relationships/hyperlink" Target="https://dart.fss.or.kr/dsaf001/main.do?rcpNo=20210930900266" TargetMode="External"/><Relationship Id="rId294" Type="http://schemas.openxmlformats.org/officeDocument/2006/relationships/hyperlink" Target="http://dart.fss.or.kr/dsaf001/main.do?rcpNo=20210528900411" TargetMode="External"/><Relationship Id="rId308" Type="http://schemas.openxmlformats.org/officeDocument/2006/relationships/hyperlink" Target="http://dart.fss.or.kr/dsaf001/main.do?rcpNo=20210331900230" TargetMode="External"/><Relationship Id="rId515" Type="http://schemas.openxmlformats.org/officeDocument/2006/relationships/hyperlink" Target="https://dart.fss.or.kr/dsaf001/main.do?rcpNo=20240718800288" TargetMode="External"/><Relationship Id="rId47" Type="http://schemas.openxmlformats.org/officeDocument/2006/relationships/hyperlink" Target="https://dart.fss.or.kr/dsaf001/main.do?rcpNo=20230518900284" TargetMode="External"/><Relationship Id="rId89" Type="http://schemas.openxmlformats.org/officeDocument/2006/relationships/hyperlink" Target="https://dart.fss.or.kr/dsaf001/main.do?rcpNo=20240730900295" TargetMode="External"/><Relationship Id="rId112" Type="http://schemas.openxmlformats.org/officeDocument/2006/relationships/hyperlink" Target="https://dart.fss.or.kr/dsaf001/main.do?rcpNo=20240412800714" TargetMode="External"/><Relationship Id="rId154" Type="http://schemas.openxmlformats.org/officeDocument/2006/relationships/hyperlink" Target="https://dart.fss.or.kr/dsaf001/main.do?rcpNo=20220302900599" TargetMode="External"/><Relationship Id="rId361" Type="http://schemas.openxmlformats.org/officeDocument/2006/relationships/hyperlink" Target="http://dart.fss.or.kr/dsaf001/main.do?rcpNo=20200824900216" TargetMode="External"/><Relationship Id="rId196" Type="http://schemas.openxmlformats.org/officeDocument/2006/relationships/hyperlink" Target="https://dart.fss.or.kr/dsaf001/main.do?rcpNo=20220421800521" TargetMode="External"/><Relationship Id="rId417" Type="http://schemas.openxmlformats.org/officeDocument/2006/relationships/hyperlink" Target="http://dart.fss.or.kr/dsaf001/main.do?rcpNo=20191030900151" TargetMode="External"/><Relationship Id="rId459" Type="http://schemas.openxmlformats.org/officeDocument/2006/relationships/hyperlink" Target="https://dart.fss.or.kr/dsaf001/main.do?rcpNo=20231206800413" TargetMode="External"/><Relationship Id="rId16" Type="http://schemas.openxmlformats.org/officeDocument/2006/relationships/hyperlink" Target="https://dart.fss.or.kr/dsaf001/main.do?rcpNo=20230713800169" TargetMode="External"/><Relationship Id="rId221" Type="http://schemas.openxmlformats.org/officeDocument/2006/relationships/hyperlink" Target="https://dart.fss.or.kr/dsaf001/main.do?rcpNo=20220124900485" TargetMode="External"/><Relationship Id="rId263" Type="http://schemas.openxmlformats.org/officeDocument/2006/relationships/hyperlink" Target="http://dart.fss.or.kr/dsaf001/main.do?rcpNo=20210902900124" TargetMode="External"/><Relationship Id="rId319" Type="http://schemas.openxmlformats.org/officeDocument/2006/relationships/hyperlink" Target="http://dart.fss.or.kr/dsaf001/main.do?rcpNo=20210216800763" TargetMode="External"/><Relationship Id="rId470" Type="http://schemas.openxmlformats.org/officeDocument/2006/relationships/hyperlink" Target="http://dart.fss.or.kr/dsaf001/main.do?rcpNo=20240131900900" TargetMode="External"/><Relationship Id="rId526" Type="http://schemas.openxmlformats.org/officeDocument/2006/relationships/hyperlink" Target="https://dart.fss.or.kr/dsaf001/main.do?rcpNo=20240814803549" TargetMode="External"/><Relationship Id="rId58" Type="http://schemas.openxmlformats.org/officeDocument/2006/relationships/hyperlink" Target="https://dart.fss.or.kr/dsaf001/main.do?rcpNo=20230428800296" TargetMode="External"/><Relationship Id="rId123" Type="http://schemas.openxmlformats.org/officeDocument/2006/relationships/hyperlink" Target="https://dart.fss.or.kr/dsaf001/main.do?rcpNo=20221116800357" TargetMode="External"/><Relationship Id="rId330" Type="http://schemas.openxmlformats.org/officeDocument/2006/relationships/hyperlink" Target="http://dart.fss.or.kr/dsaf001/main.do?rcpNo=20231219800363" TargetMode="External"/><Relationship Id="rId165" Type="http://schemas.openxmlformats.org/officeDocument/2006/relationships/hyperlink" Target="https://dart.fss.or.kr/dsaf001/main.do?rcpNo=20220715800434" TargetMode="External"/><Relationship Id="rId372" Type="http://schemas.openxmlformats.org/officeDocument/2006/relationships/hyperlink" Target="http://dart.fss.or.kr/dsaf001/main.do?rcpNo=20200630900500" TargetMode="External"/><Relationship Id="rId428" Type="http://schemas.openxmlformats.org/officeDocument/2006/relationships/hyperlink" Target="http://dart.fss.or.kr/dsaf001/main.do?rcpNo=20210908900283" TargetMode="External"/><Relationship Id="rId232" Type="http://schemas.openxmlformats.org/officeDocument/2006/relationships/hyperlink" Target="http://dart.fss.or.kr/dsaf001/main.do?rcpNo=20211216900890" TargetMode="External"/><Relationship Id="rId274" Type="http://schemas.openxmlformats.org/officeDocument/2006/relationships/hyperlink" Target="http://dart.fss.or.kr/dsaf001/main.do?rcpNo=20210805900317" TargetMode="External"/><Relationship Id="rId481" Type="http://schemas.openxmlformats.org/officeDocument/2006/relationships/hyperlink" Target="https://dart.fss.or.kr/dsaf001/main.do?rcpNo=20240529800421" TargetMode="External"/><Relationship Id="rId27" Type="http://schemas.openxmlformats.org/officeDocument/2006/relationships/hyperlink" Target="https://dart.fss.or.kr/dsaf001/main.do?rcpNo=20240730800001" TargetMode="External"/><Relationship Id="rId69" Type="http://schemas.openxmlformats.org/officeDocument/2006/relationships/hyperlink" Target="https://dart.fss.or.kr/dsaf001/main.do?rcpNo=20230331902214" TargetMode="External"/><Relationship Id="rId134" Type="http://schemas.openxmlformats.org/officeDocument/2006/relationships/hyperlink" Target="https://dart.fss.or.kr/dsaf001/main.do?rcpNo=20221012800377" TargetMode="External"/><Relationship Id="rId80" Type="http://schemas.openxmlformats.org/officeDocument/2006/relationships/hyperlink" Target="https://dart.fss.or.kr/dsaf001/main.do?rcpNo=20230324901088" TargetMode="External"/><Relationship Id="rId176" Type="http://schemas.openxmlformats.org/officeDocument/2006/relationships/hyperlink" Target="http://dart.fss.or.kr/dsaf001/main.do?rcpNo=20240329802706" TargetMode="External"/><Relationship Id="rId341" Type="http://schemas.openxmlformats.org/officeDocument/2006/relationships/hyperlink" Target="http://dart.fss.or.kr/dsaf001/main.do?rcpNo=20201124900140" TargetMode="External"/><Relationship Id="rId383" Type="http://schemas.openxmlformats.org/officeDocument/2006/relationships/hyperlink" Target="http://dart.fss.or.kr/dsaf001/main.do?rcpNo=20200413800167" TargetMode="External"/><Relationship Id="rId439" Type="http://schemas.openxmlformats.org/officeDocument/2006/relationships/hyperlink" Target="https://dart.fss.or.kr/dsaf001/main.do?rcpNo=20240528800222" TargetMode="External"/><Relationship Id="rId201" Type="http://schemas.openxmlformats.org/officeDocument/2006/relationships/hyperlink" Target="http://dart.fss.or.kr/dsaf001/main.do?rcpNo=20210622800329" TargetMode="External"/><Relationship Id="rId243" Type="http://schemas.openxmlformats.org/officeDocument/2006/relationships/hyperlink" Target="http://dart.fss.or.kr/dsaf001/main.do?rcpNo=20211119800099" TargetMode="External"/><Relationship Id="rId285" Type="http://schemas.openxmlformats.org/officeDocument/2006/relationships/hyperlink" Target="http://dart.fss.or.kr/dsaf001/main.do?rcpNo=20210630800976" TargetMode="External"/><Relationship Id="rId450" Type="http://schemas.openxmlformats.org/officeDocument/2006/relationships/hyperlink" Target="https://dart.fss.or.kr/dsaf001/main.do?rcpNo=20231102900233" TargetMode="External"/><Relationship Id="rId506" Type="http://schemas.openxmlformats.org/officeDocument/2006/relationships/hyperlink" Target="https://dart.fss.or.kr/dsaf001/main.do?rcpNo=20240612800343" TargetMode="External"/><Relationship Id="rId38" Type="http://schemas.openxmlformats.org/officeDocument/2006/relationships/hyperlink" Target="https://dart.fss.or.kr/dsaf001/main.do?rcpNo=20240906900170" TargetMode="External"/><Relationship Id="rId103" Type="http://schemas.openxmlformats.org/officeDocument/2006/relationships/hyperlink" Target="https://dart.fss.or.kr/dsaf001/main.do?rcpNo=20221228900673" TargetMode="External"/><Relationship Id="rId310" Type="http://schemas.openxmlformats.org/officeDocument/2006/relationships/hyperlink" Target="http://dart.fss.or.kr/dsaf001/main.do?rcpNo=2021032290029" TargetMode="External"/><Relationship Id="rId492" Type="http://schemas.openxmlformats.org/officeDocument/2006/relationships/hyperlink" Target="https://dart.fss.or.kr/dsaf001/main.do?rcpNo=20240425800143" TargetMode="External"/><Relationship Id="rId91" Type="http://schemas.openxmlformats.org/officeDocument/2006/relationships/hyperlink" Target="https://dart.fss.or.kr/dsaf001/main.do?rcpNo=20230214800345" TargetMode="External"/><Relationship Id="rId145" Type="http://schemas.openxmlformats.org/officeDocument/2006/relationships/hyperlink" Target="https://dart.fss.or.kr/dsaf001/main.do?rcpNo=20220530900546" TargetMode="External"/><Relationship Id="rId187" Type="http://schemas.openxmlformats.org/officeDocument/2006/relationships/hyperlink" Target="https://dart.fss.or.kr/dsaf001/main.do?rcpNo=20220518800103" TargetMode="External"/><Relationship Id="rId352" Type="http://schemas.openxmlformats.org/officeDocument/2006/relationships/hyperlink" Target="http://dart.fss.or.kr/dsaf001/main.do?rcpNo=20201005800538" TargetMode="External"/><Relationship Id="rId394" Type="http://schemas.openxmlformats.org/officeDocument/2006/relationships/hyperlink" Target="http://dart.fss.or.kr/dsaf001/main.do?rcpNo=20200213800622" TargetMode="External"/><Relationship Id="rId408" Type="http://schemas.openxmlformats.org/officeDocument/2006/relationships/hyperlink" Target="http://dart.fss.or.kr/dsaf001/main.do?rcpNo=20191224900553" TargetMode="External"/><Relationship Id="rId212" Type="http://schemas.openxmlformats.org/officeDocument/2006/relationships/hyperlink" Target="https://dart.fss.or.kr/dsaf001/main.do?rcpNo=20220225800347" TargetMode="External"/><Relationship Id="rId254" Type="http://schemas.openxmlformats.org/officeDocument/2006/relationships/hyperlink" Target="http://dart.fss.or.kr/dsaf001/main.do?rcpNo=20210928900301" TargetMode="External"/><Relationship Id="rId49" Type="http://schemas.openxmlformats.org/officeDocument/2006/relationships/hyperlink" Target="https://dart.fss.or.kr/dsaf001/main.do?rcpNo=20240906900290" TargetMode="External"/><Relationship Id="rId114" Type="http://schemas.openxmlformats.org/officeDocument/2006/relationships/hyperlink" Target="https://dart.fss.or.kr/dsaf001/main.do?rcpNo=20231130900719" TargetMode="External"/><Relationship Id="rId296" Type="http://schemas.openxmlformats.org/officeDocument/2006/relationships/hyperlink" Target="http://dart.fss.or.kr/dsaf001/main.do?rcpNo=20210525900559" TargetMode="External"/><Relationship Id="rId461" Type="http://schemas.openxmlformats.org/officeDocument/2006/relationships/hyperlink" Target="https://dart.fss.or.kr/dsaf001/main.do?rcpNo=20231208800240" TargetMode="External"/><Relationship Id="rId517" Type="http://schemas.openxmlformats.org/officeDocument/2006/relationships/hyperlink" Target="https://dart.fss.or.kr/dsaf001/main.do?rcpNo=20240723800487" TargetMode="External"/><Relationship Id="rId60" Type="http://schemas.openxmlformats.org/officeDocument/2006/relationships/hyperlink" Target="https://dart.fss.or.kr/dsaf001/main.do?rcpNo=20230427900443" TargetMode="External"/><Relationship Id="rId156" Type="http://schemas.openxmlformats.org/officeDocument/2006/relationships/hyperlink" Target="https://dart.fss.or.kr/dsaf001/main.do?rcpNo=20220804900112" TargetMode="External"/><Relationship Id="rId198" Type="http://schemas.openxmlformats.org/officeDocument/2006/relationships/hyperlink" Target="https://dart.fss.or.kr/dsaf001/main.do?rcpNo=20220413800623" TargetMode="External"/><Relationship Id="rId321" Type="http://schemas.openxmlformats.org/officeDocument/2006/relationships/hyperlink" Target="http://dart.fss.or.kr/dsaf001/main.do?rcpNo=20210210900255" TargetMode="External"/><Relationship Id="rId363" Type="http://schemas.openxmlformats.org/officeDocument/2006/relationships/hyperlink" Target="http://dart.fss.or.kr/dsaf001/main.do?rcpNo=20200731800725" TargetMode="External"/><Relationship Id="rId419" Type="http://schemas.openxmlformats.org/officeDocument/2006/relationships/hyperlink" Target="http://dart.fss.or.kr/dsaf001/main.do?rcpNo=20191014800112" TargetMode="External"/><Relationship Id="rId223" Type="http://schemas.openxmlformats.org/officeDocument/2006/relationships/hyperlink" Target="https://dart.fss.or.kr/dsaf001/main.do?rcpNo=20220119800116" TargetMode="External"/><Relationship Id="rId430" Type="http://schemas.openxmlformats.org/officeDocument/2006/relationships/hyperlink" Target="https://dart.fss.or.kr/dsaf001/main.do?rcpNo=20230818800257" TargetMode="External"/><Relationship Id="rId18" Type="http://schemas.openxmlformats.org/officeDocument/2006/relationships/hyperlink" Target="https://dart.fss.or.kr/dsaf001/main.do?rcpNo=20230630900604" TargetMode="External"/><Relationship Id="rId265" Type="http://schemas.openxmlformats.org/officeDocument/2006/relationships/hyperlink" Target="http://dart.fss.or.kr/dsaf001/main.do?rcpNo=20210827800172" TargetMode="External"/><Relationship Id="rId472" Type="http://schemas.openxmlformats.org/officeDocument/2006/relationships/hyperlink" Target="https://dart.fss.or.kr/dsaf001/main.do?rcpNo=20240215900651" TargetMode="External"/><Relationship Id="rId528" Type="http://schemas.openxmlformats.org/officeDocument/2006/relationships/hyperlink" Target="https://dart.fss.or.kr/dsaf001/main.do?rcpNo=20240820900088" TargetMode="External"/><Relationship Id="rId125" Type="http://schemas.openxmlformats.org/officeDocument/2006/relationships/hyperlink" Target="https://dart.fss.or.kr/dsaf001/main.do?rcpNo=20221108800229https://dart.fss.or.kr/dsaf001/main.do?rcpNo=20221108800229" TargetMode="External"/><Relationship Id="rId167" Type="http://schemas.openxmlformats.org/officeDocument/2006/relationships/hyperlink" Target="https://dart.fss.or.kr/dsaf001/main.do?rcpNo=20220713900075" TargetMode="External"/><Relationship Id="rId332" Type="http://schemas.openxmlformats.org/officeDocument/2006/relationships/hyperlink" Target="http://dart.fss.or.kr/dsaf001/main.do?rcpNo=20201228900757" TargetMode="External"/><Relationship Id="rId374" Type="http://schemas.openxmlformats.org/officeDocument/2006/relationships/hyperlink" Target="http://dart.fss.or.kr/dsaf001/main.do?rcpNo=20200611800151" TargetMode="External"/><Relationship Id="rId71" Type="http://schemas.openxmlformats.org/officeDocument/2006/relationships/hyperlink" Target="https://dart.fss.or.kr/dsaf001/main.do?rcpNo=20230331803601" TargetMode="External"/><Relationship Id="rId234" Type="http://schemas.openxmlformats.org/officeDocument/2006/relationships/hyperlink" Target="http://dart.fss.or.kr/dsaf001/main.do?rcpNo=20211213800549" TargetMode="External"/><Relationship Id="rId2" Type="http://schemas.openxmlformats.org/officeDocument/2006/relationships/hyperlink" Target="https://dart.fss.or.kr/dsaf001/main.do?rcpNo=20230811801212" TargetMode="External"/><Relationship Id="rId29" Type="http://schemas.openxmlformats.org/officeDocument/2006/relationships/hyperlink" Target="https://dart.fss.or.kr/dsaf001/main.do?rcpNo=20230614900137" TargetMode="External"/><Relationship Id="rId276" Type="http://schemas.openxmlformats.org/officeDocument/2006/relationships/hyperlink" Target="http://dart.fss.or.kr/dsaf001/main.do?rcpNo=20210722800446" TargetMode="External"/><Relationship Id="rId441" Type="http://schemas.openxmlformats.org/officeDocument/2006/relationships/hyperlink" Target="https://dart.fss.or.kr/dsaf001/main.do?rcpNo=20240131800909" TargetMode="External"/><Relationship Id="rId483" Type="http://schemas.openxmlformats.org/officeDocument/2006/relationships/hyperlink" Target="https://dart.fss.or.kr/dsaf001/main.do?rcpNo=20240319900541" TargetMode="External"/><Relationship Id="rId40" Type="http://schemas.openxmlformats.org/officeDocument/2006/relationships/hyperlink" Target="https://dart.fss.or.kr/dsaf001/main.do?rcpNo=20240130900717" TargetMode="External"/><Relationship Id="rId136" Type="http://schemas.openxmlformats.org/officeDocument/2006/relationships/hyperlink" Target="https://dart.fss.or.kr/dsaf001/main.do?rcpNo=20221006800180" TargetMode="External"/><Relationship Id="rId178" Type="http://schemas.openxmlformats.org/officeDocument/2006/relationships/hyperlink" Target="https://dart.fss.or.kr/dsaf001/main.do?rcpNo=20220613800192" TargetMode="External"/><Relationship Id="rId301" Type="http://schemas.openxmlformats.org/officeDocument/2006/relationships/hyperlink" Target="http://dart.fss.or.kr/dsaf001/main.do?rcpNo=20210511800593" TargetMode="External"/><Relationship Id="rId343" Type="http://schemas.openxmlformats.org/officeDocument/2006/relationships/hyperlink" Target="http://dart.fss.or.kr/dsaf001/main.do?rcpNo=20201120900057" TargetMode="External"/><Relationship Id="rId82" Type="http://schemas.openxmlformats.org/officeDocument/2006/relationships/hyperlink" Target="https://dart.fss.or.kr/dsaf001/main.do?rcpNo=20230314900589" TargetMode="External"/><Relationship Id="rId203" Type="http://schemas.openxmlformats.org/officeDocument/2006/relationships/hyperlink" Target="https://dart.fss.or.kr/dsaf001/main.do?rcpNo=20220331901872" TargetMode="External"/><Relationship Id="rId385" Type="http://schemas.openxmlformats.org/officeDocument/2006/relationships/hyperlink" Target="http://dart.fss.or.kr/dsaf001/main.do?rcpNo=20200327803178" TargetMode="External"/><Relationship Id="rId245" Type="http://schemas.openxmlformats.org/officeDocument/2006/relationships/hyperlink" Target="http://dart.fss.or.kr/dsaf001/main.do?rcpNo=20240206800776" TargetMode="External"/><Relationship Id="rId287" Type="http://schemas.openxmlformats.org/officeDocument/2006/relationships/hyperlink" Target="http://dart.fss.or.kr/dsaf001/main.do?rcpNo=20210625900435" TargetMode="External"/><Relationship Id="rId410" Type="http://schemas.openxmlformats.org/officeDocument/2006/relationships/hyperlink" Target="http://dart.fss.or.kr/dsaf001/main.do?rcpNo=20191219800002" TargetMode="External"/><Relationship Id="rId452" Type="http://schemas.openxmlformats.org/officeDocument/2006/relationships/hyperlink" Target="https://dart.fss.or.kr/dsaf001/main.do?rcpNo=20231116900112" TargetMode="External"/><Relationship Id="rId494" Type="http://schemas.openxmlformats.org/officeDocument/2006/relationships/hyperlink" Target="http://dart.fss.or.kr/dsaf001/main.do?rcpNo=20240502900271" TargetMode="External"/><Relationship Id="rId508" Type="http://schemas.openxmlformats.org/officeDocument/2006/relationships/hyperlink" Target="https://dart.fss.or.kr/dsaf001/main.do?rcpNo=20240613900259" TargetMode="External"/><Relationship Id="rId105" Type="http://schemas.openxmlformats.org/officeDocument/2006/relationships/hyperlink" Target="https://dart.fss.or.kr/dsaf001/main.do?rcpNo=20221227900689" TargetMode="External"/><Relationship Id="rId147" Type="http://schemas.openxmlformats.org/officeDocument/2006/relationships/hyperlink" Target="https://dart.fss.or.kr/dsaf001/main.do?rcpNo=20220426900220" TargetMode="External"/><Relationship Id="rId312" Type="http://schemas.openxmlformats.org/officeDocument/2006/relationships/hyperlink" Target="http://dart.fss.or.kr/dsaf001/main.do?rcpNo=20211130800829" TargetMode="External"/><Relationship Id="rId354" Type="http://schemas.openxmlformats.org/officeDocument/2006/relationships/hyperlink" Target="http://dart.fss.or.kr/dsaf001/main.do?rcpNo=20200928800427" TargetMode="External"/><Relationship Id="rId51" Type="http://schemas.openxmlformats.org/officeDocument/2006/relationships/hyperlink" Target="https://dart.fss.or.kr/dsaf001/main.do?rcpNo=20240502900349" TargetMode="External"/><Relationship Id="rId93" Type="http://schemas.openxmlformats.org/officeDocument/2006/relationships/hyperlink" Target="https://dart.fss.or.kr/dsaf001/main.do?rcpNo=20230208800672" TargetMode="External"/><Relationship Id="rId189" Type="http://schemas.openxmlformats.org/officeDocument/2006/relationships/hyperlink" Target="https://dart.fss.or.kr/dsaf001/main.do?rcpNo=20231222900303" TargetMode="External"/><Relationship Id="rId396" Type="http://schemas.openxmlformats.org/officeDocument/2006/relationships/hyperlink" Target="http://dart.fss.or.kr/dsaf001/main.do?rcpNo=20200204800600" TargetMode="External"/><Relationship Id="rId214" Type="http://schemas.openxmlformats.org/officeDocument/2006/relationships/hyperlink" Target="https://dart.fss.or.kr/dsaf001/main.do?rcpNo=20220218800591" TargetMode="External"/><Relationship Id="rId256" Type="http://schemas.openxmlformats.org/officeDocument/2006/relationships/hyperlink" Target="http://dart.fss.or.kr/dsaf001/main.do?rcpNo=20210915800236" TargetMode="External"/><Relationship Id="rId298" Type="http://schemas.openxmlformats.org/officeDocument/2006/relationships/hyperlink" Target="http://dart.fss.or.kr/dsaf001/main.do?rcpNo=20210514801236" TargetMode="External"/><Relationship Id="rId421" Type="http://schemas.openxmlformats.org/officeDocument/2006/relationships/hyperlink" Target="http://dart.fss.or.kr/dsaf001/main.do?rcpNo=20190930900749" TargetMode="External"/><Relationship Id="rId463" Type="http://schemas.openxmlformats.org/officeDocument/2006/relationships/hyperlink" Target="https://dart.fss.or.kr/dsaf001/main.do?rcpNo=20231213800247" TargetMode="External"/><Relationship Id="rId519" Type="http://schemas.openxmlformats.org/officeDocument/2006/relationships/hyperlink" Target="https://dart.fss.or.kr/dsaf001/main.do?rcpNo=20240725900249" TargetMode="External"/><Relationship Id="rId116" Type="http://schemas.openxmlformats.org/officeDocument/2006/relationships/hyperlink" Target="https://dart.fss.or.kr/dsaf001/main.do?rcpNo=20221130900073" TargetMode="External"/><Relationship Id="rId158" Type="http://schemas.openxmlformats.org/officeDocument/2006/relationships/hyperlink" Target="https://dart.fss.or.kr/dsaf001/main.do?rcpNo=20220729900460" TargetMode="External"/><Relationship Id="rId323" Type="http://schemas.openxmlformats.org/officeDocument/2006/relationships/hyperlink" Target="http://dart.fss.or.kr/dsaf001/main.do?rcpNo=20210205901052" TargetMode="External"/><Relationship Id="rId530" Type="http://schemas.openxmlformats.org/officeDocument/2006/relationships/hyperlink" Target="https://dart.fss.or.kr/dsaf001/main.do?rcpNo=20240829800610" TargetMode="External"/><Relationship Id="rId20" Type="http://schemas.openxmlformats.org/officeDocument/2006/relationships/hyperlink" Target="https://dart.fss.or.kr/dsaf001/main.do?rcpNo=20230925800089" TargetMode="External"/><Relationship Id="rId62" Type="http://schemas.openxmlformats.org/officeDocument/2006/relationships/hyperlink" Target="https://dart.fss.or.kr/dsaf001/main.do?rcpNo=20240628900936" TargetMode="External"/><Relationship Id="rId365" Type="http://schemas.openxmlformats.org/officeDocument/2006/relationships/hyperlink" Target="http://dart.fss.or.kr/dsaf001/main.do?rcpNo=20200730800521" TargetMode="External"/><Relationship Id="rId225" Type="http://schemas.openxmlformats.org/officeDocument/2006/relationships/hyperlink" Target="http://dart.fss.or.kr/dsaf001/main.do?rcpNo=20210630800864" TargetMode="External"/><Relationship Id="rId267" Type="http://schemas.openxmlformats.org/officeDocument/2006/relationships/hyperlink" Target="http://dart.fss.or.kr/dsaf001/main.do?rcpNo=20210831900121" TargetMode="External"/><Relationship Id="rId432" Type="http://schemas.openxmlformats.org/officeDocument/2006/relationships/hyperlink" Target="https://dart.fss.or.kr/dsaf001/main.do?rcpNo=20230829800134" TargetMode="External"/><Relationship Id="rId474" Type="http://schemas.openxmlformats.org/officeDocument/2006/relationships/hyperlink" Target="https://dart.fss.or.kr/dsaf001/main.do?rcpNo=20240220800842" TargetMode="External"/><Relationship Id="rId127" Type="http://schemas.openxmlformats.org/officeDocument/2006/relationships/hyperlink" Target="https://dart.fss.or.kr/dsaf001/main.do?rcpNo=20231228800999" TargetMode="External"/><Relationship Id="rId31" Type="http://schemas.openxmlformats.org/officeDocument/2006/relationships/hyperlink" Target="https://dart.fss.or.kr/dsaf001/main.do?rcpNo=20230609900253" TargetMode="External"/><Relationship Id="rId73" Type="http://schemas.openxmlformats.org/officeDocument/2006/relationships/hyperlink" Target="http://dart.fss.or.kr/dsaf001/main.do?rcpNo=20231229900389" TargetMode="External"/><Relationship Id="rId169" Type="http://schemas.openxmlformats.org/officeDocument/2006/relationships/hyperlink" Target="https://dart.fss.or.kr/dsaf001/main.do?rcpNo=20220707900094" TargetMode="External"/><Relationship Id="rId334" Type="http://schemas.openxmlformats.org/officeDocument/2006/relationships/hyperlink" Target="http://dart.fss.or.kr/dsaf001/main.do?rcpNo=20201224800689" TargetMode="External"/><Relationship Id="rId376" Type="http://schemas.openxmlformats.org/officeDocument/2006/relationships/hyperlink" Target="http://dart.fss.or.kr/dsaf001/main.do?rcpNo=20200529900785" TargetMode="External"/><Relationship Id="rId4" Type="http://schemas.openxmlformats.org/officeDocument/2006/relationships/hyperlink" Target="https://dart.fss.or.kr/dsaf001/main.do?rcpNo=20230810800444" TargetMode="External"/><Relationship Id="rId180" Type="http://schemas.openxmlformats.org/officeDocument/2006/relationships/hyperlink" Target="https://dart.fss.or.kr/dsaf001/main.do?rcpNo=20220531900655" TargetMode="External"/><Relationship Id="rId236" Type="http://schemas.openxmlformats.org/officeDocument/2006/relationships/hyperlink" Target="http://dart.fss.or.kr/dsaf001/main.do?rcpNo=20231228800985" TargetMode="External"/><Relationship Id="rId278" Type="http://schemas.openxmlformats.org/officeDocument/2006/relationships/hyperlink" Target="http://dart.fss.or.kr/dsaf001/main.do?rcpNo=20210715900056" TargetMode="External"/><Relationship Id="rId401" Type="http://schemas.openxmlformats.org/officeDocument/2006/relationships/hyperlink" Target="http://dart.fss.or.kr/dsaf001/main.do?rcpNo=20200122900135" TargetMode="External"/><Relationship Id="rId443" Type="http://schemas.openxmlformats.org/officeDocument/2006/relationships/hyperlink" Target="https://dart.fss.or.kr/dsaf001/main.do?rcpNo=20231010800111" TargetMode="External"/><Relationship Id="rId303" Type="http://schemas.openxmlformats.org/officeDocument/2006/relationships/hyperlink" Target="https://dart.fss.or.kr/dsaf001/main.do?rcpNo=20210426900131" TargetMode="External"/><Relationship Id="rId485" Type="http://schemas.openxmlformats.org/officeDocument/2006/relationships/hyperlink" Target="https://dart.fss.or.kr/dsaf001/main.do?rcpNo=20240321801439" TargetMode="External"/><Relationship Id="rId42" Type="http://schemas.openxmlformats.org/officeDocument/2006/relationships/hyperlink" Target="https://dart.fss.or.kr/dsaf001/main.do?rcpNo=20230531900676" TargetMode="External"/><Relationship Id="rId84" Type="http://schemas.openxmlformats.org/officeDocument/2006/relationships/hyperlink" Target="https://dart.fss.or.kr/dsaf001/main.do?rcpNo=20230313800692" TargetMode="External"/><Relationship Id="rId138" Type="http://schemas.openxmlformats.org/officeDocument/2006/relationships/hyperlink" Target="https://dart.fss.or.kr/dsaf001/main.do?rcpNo=20220930900255" TargetMode="External"/><Relationship Id="rId345" Type="http://schemas.openxmlformats.org/officeDocument/2006/relationships/hyperlink" Target="http://dart.fss.or.kr/dsaf001/main.do?rcpNo=20201106800387" TargetMode="External"/><Relationship Id="rId387" Type="http://schemas.openxmlformats.org/officeDocument/2006/relationships/hyperlink" Target="http://dart.fss.or.kr/dsaf001/main.do?rcpNo=20200320801409" TargetMode="External"/><Relationship Id="rId510" Type="http://schemas.openxmlformats.org/officeDocument/2006/relationships/hyperlink" Target="https://dart.fss.or.kr/dsaf001/main.do?rcpNo=20240625800311" TargetMode="External"/><Relationship Id="rId191" Type="http://schemas.openxmlformats.org/officeDocument/2006/relationships/hyperlink" Target="https://dart.fss.or.kr/dsaf001/main.do?rcpNo=20220511900206" TargetMode="External"/><Relationship Id="rId205" Type="http://schemas.openxmlformats.org/officeDocument/2006/relationships/hyperlink" Target="https://dart.fss.or.kr/dsaf001/main.do?rcpNo=20220331802844" TargetMode="External"/><Relationship Id="rId247" Type="http://schemas.openxmlformats.org/officeDocument/2006/relationships/hyperlink" Target="http://dart.fss.or.kr/dsaf001/main.do?rcpNo=20211029900449" TargetMode="External"/><Relationship Id="rId412" Type="http://schemas.openxmlformats.org/officeDocument/2006/relationships/hyperlink" Target="http://dart.fss.or.kr/dsaf001/main.do?rcpNo=20191118900100" TargetMode="External"/><Relationship Id="rId107" Type="http://schemas.openxmlformats.org/officeDocument/2006/relationships/hyperlink" Target="https://dart.fss.or.kr/dsaf001/main.do?rcpNo=20221223800470" TargetMode="External"/><Relationship Id="rId289" Type="http://schemas.openxmlformats.org/officeDocument/2006/relationships/hyperlink" Target="http://dart.fss.or.kr/dsaf001/main.do?rcpNo=20230926800477" TargetMode="External"/><Relationship Id="rId454" Type="http://schemas.openxmlformats.org/officeDocument/2006/relationships/hyperlink" Target="https://dart.fss.or.kr/dsaf001/main.do?rcpNo=20231121900120" TargetMode="External"/><Relationship Id="rId496" Type="http://schemas.openxmlformats.org/officeDocument/2006/relationships/hyperlink" Target="http://dart.fss.or.kr/dsaf001/main.do?rcpNo=20240510900889" TargetMode="External"/><Relationship Id="rId11" Type="http://schemas.openxmlformats.org/officeDocument/2006/relationships/hyperlink" Target="https://dart.fss.or.kr/dsaf001/main.do?rcpNo=20240530900354" TargetMode="External"/><Relationship Id="rId53" Type="http://schemas.openxmlformats.org/officeDocument/2006/relationships/hyperlink" Target="https://dart.fss.or.kr/dsaf001/main.do?rcpNo=20240625900178" TargetMode="External"/><Relationship Id="rId149" Type="http://schemas.openxmlformats.org/officeDocument/2006/relationships/hyperlink" Target="https://dart.fss.or.kr/dsaf001/main.do?rcpNo=20240823900486" TargetMode="External"/><Relationship Id="rId314" Type="http://schemas.openxmlformats.org/officeDocument/2006/relationships/hyperlink" Target="http://dart.fss.or.kr/dsaf001/main.do?rcpNo=20210302800805" TargetMode="External"/><Relationship Id="rId356" Type="http://schemas.openxmlformats.org/officeDocument/2006/relationships/hyperlink" Target="http://dart.fss.or.kr/dsaf001/main.do?rcpNo=20200924800541" TargetMode="External"/><Relationship Id="rId398" Type="http://schemas.openxmlformats.org/officeDocument/2006/relationships/hyperlink" Target="http://dart.fss.or.kr/dsaf001/main.do?rcpNo=20200130900435" TargetMode="External"/><Relationship Id="rId521" Type="http://schemas.openxmlformats.org/officeDocument/2006/relationships/hyperlink" Target="https://dart.fss.or.kr/dsaf001/main.do?rcpNo=20240730800392" TargetMode="External"/><Relationship Id="rId95" Type="http://schemas.openxmlformats.org/officeDocument/2006/relationships/hyperlink" Target="https://dart.fss.or.kr/dsaf001/main.do?rcpNo=20230131900375" TargetMode="External"/><Relationship Id="rId160" Type="http://schemas.openxmlformats.org/officeDocument/2006/relationships/hyperlink" Target="https://dart.fss.or.kr/dsaf001/main.do?rcpNo=20220727800435" TargetMode="External"/><Relationship Id="rId216" Type="http://schemas.openxmlformats.org/officeDocument/2006/relationships/hyperlink" Target="http://dart.fss.or.kr/dsaf001/main.do?rcpNo=20210727900244" TargetMode="External"/><Relationship Id="rId423" Type="http://schemas.openxmlformats.org/officeDocument/2006/relationships/hyperlink" Target="http://dart.fss.or.kr/dsaf001/main.do?rcpNo=20190802800090" TargetMode="External"/><Relationship Id="rId258" Type="http://schemas.openxmlformats.org/officeDocument/2006/relationships/hyperlink" Target="http://dart.fss.or.kr/dsaf001/main.do?rcpNo=20210909900263" TargetMode="External"/><Relationship Id="rId465" Type="http://schemas.openxmlformats.org/officeDocument/2006/relationships/hyperlink" Target="https://dart.fss.or.kr/dsaf001/main.do?rcpNo=20240830900396" TargetMode="External"/><Relationship Id="rId22" Type="http://schemas.openxmlformats.org/officeDocument/2006/relationships/hyperlink" Target="https://dart.fss.or.kr/dsaf001/main.do?rcpNo=20230629800326" TargetMode="External"/><Relationship Id="rId64" Type="http://schemas.openxmlformats.org/officeDocument/2006/relationships/hyperlink" Target="https://dart.fss.or.kr/dsaf001/main.do?rcpNo=20230411900144" TargetMode="External"/><Relationship Id="rId118" Type="http://schemas.openxmlformats.org/officeDocument/2006/relationships/hyperlink" Target="https://dart.fss.or.kr/dsaf001/main.do?rcpNo=20221129800465" TargetMode="External"/><Relationship Id="rId325" Type="http://schemas.openxmlformats.org/officeDocument/2006/relationships/hyperlink" Target="http://dart.fss.or.kr/dsaf001/main.do?rcpNo=20210118900578" TargetMode="External"/><Relationship Id="rId367" Type="http://schemas.openxmlformats.org/officeDocument/2006/relationships/hyperlink" Target="http://dart.fss.or.kr/dsaf001/main.do?rcpNo=20200722800361" TargetMode="External"/><Relationship Id="rId532" Type="http://schemas.openxmlformats.org/officeDocument/2006/relationships/hyperlink" Target="https://dart.fss.or.kr/dsaf001/main.do?rcpNo=20240905800166" TargetMode="External"/><Relationship Id="rId171" Type="http://schemas.openxmlformats.org/officeDocument/2006/relationships/hyperlink" Target="https://dart.fss.or.kr/dsaf001/main.do?rcpNo=20220630900956" TargetMode="External"/><Relationship Id="rId227" Type="http://schemas.openxmlformats.org/officeDocument/2006/relationships/hyperlink" Target="https://dart.fss.or.kr/dsaf001/main.do?rcpNo=20211231800478" TargetMode="External"/><Relationship Id="rId269" Type="http://schemas.openxmlformats.org/officeDocument/2006/relationships/hyperlink" Target="http://dart.fss.or.kr/dsaf001/main.do?rcpNo=20210830900288" TargetMode="External"/><Relationship Id="rId434" Type="http://schemas.openxmlformats.org/officeDocument/2006/relationships/hyperlink" Target="https://dart.fss.or.kr/dsaf001/main.do?rcpNo=20230831900314" TargetMode="External"/><Relationship Id="rId476" Type="http://schemas.openxmlformats.org/officeDocument/2006/relationships/hyperlink" Target="https://dart.fss.or.kr/dsaf001/main.do?rcpNo=20240731900568" TargetMode="External"/><Relationship Id="rId33" Type="http://schemas.openxmlformats.org/officeDocument/2006/relationships/hyperlink" Target="https://dart.fss.or.kr/dsaf001/main.do?rcpNo=20230609900259" TargetMode="External"/><Relationship Id="rId129" Type="http://schemas.openxmlformats.org/officeDocument/2006/relationships/hyperlink" Target="https://dart.fss.or.kr/dsaf001/main.do?rcpNo=20221031900301" TargetMode="External"/><Relationship Id="rId280" Type="http://schemas.openxmlformats.org/officeDocument/2006/relationships/hyperlink" Target="http://dart.fss.or.kr/dsaf001/main.do?rcpNo=20210712800301" TargetMode="External"/><Relationship Id="rId336" Type="http://schemas.openxmlformats.org/officeDocument/2006/relationships/hyperlink" Target="http://dart.fss.or.kr/dsaf001/main.do?rcpNo=20201209900579" TargetMode="External"/><Relationship Id="rId501" Type="http://schemas.openxmlformats.org/officeDocument/2006/relationships/hyperlink" Target="https://dart.fss.or.kr/dsaf001/main.do?rcpNo=20240603800214" TargetMode="External"/><Relationship Id="rId75" Type="http://schemas.openxmlformats.org/officeDocument/2006/relationships/hyperlink" Target="https://dart.fss.or.kr/dsaf001/main.do?rcpNo=20230331802689" TargetMode="External"/><Relationship Id="rId140" Type="http://schemas.openxmlformats.org/officeDocument/2006/relationships/hyperlink" Target="https://dart.fss.or.kr/dsaf001/main.do?rcpNo=20220915800458" TargetMode="External"/><Relationship Id="rId182" Type="http://schemas.openxmlformats.org/officeDocument/2006/relationships/hyperlink" Target="https://dart.fss.or.kr/dsaf001/main.do?rcpNo=20220530900706" TargetMode="External"/><Relationship Id="rId378" Type="http://schemas.openxmlformats.org/officeDocument/2006/relationships/hyperlink" Target="http://dart.fss.or.kr/dsaf001/main.do?rcpNo=20200507800561" TargetMode="External"/><Relationship Id="rId403" Type="http://schemas.openxmlformats.org/officeDocument/2006/relationships/hyperlink" Target="http://dart.fss.or.kr/dsaf001/main.do?rcpNo=20200107800077" TargetMode="External"/><Relationship Id="rId6" Type="http://schemas.openxmlformats.org/officeDocument/2006/relationships/hyperlink" Target="https://dart.fss.or.kr/dsaf001/main.do?rcpNo=20230808800263" TargetMode="External"/><Relationship Id="rId238" Type="http://schemas.openxmlformats.org/officeDocument/2006/relationships/hyperlink" Target="http://dart.fss.or.kr/dsaf001/main.do?rcpNo=20211126900161" TargetMode="External"/><Relationship Id="rId445" Type="http://schemas.openxmlformats.org/officeDocument/2006/relationships/hyperlink" Target="https://dart.fss.or.kr/dsaf001/main.do?rcpNo=20231011900326" TargetMode="External"/><Relationship Id="rId487" Type="http://schemas.openxmlformats.org/officeDocument/2006/relationships/hyperlink" Target="https://dart.fss.or.kr/dsaf001/main.do?rcpNo=20240327800875" TargetMode="External"/><Relationship Id="rId291" Type="http://schemas.openxmlformats.org/officeDocument/2006/relationships/hyperlink" Target="http://dart.fss.or.kr/dsaf001/main.do?rcpNo=20211222800268" TargetMode="External"/><Relationship Id="rId305" Type="http://schemas.openxmlformats.org/officeDocument/2006/relationships/hyperlink" Target="http://dart.fss.or.kr/dsaf001/main.do?rcpNo=20210409800152" TargetMode="External"/><Relationship Id="rId347" Type="http://schemas.openxmlformats.org/officeDocument/2006/relationships/hyperlink" Target="http://dart.fss.or.kr/dsaf001/main.do?rcpNo=20201028800368" TargetMode="External"/><Relationship Id="rId512" Type="http://schemas.openxmlformats.org/officeDocument/2006/relationships/hyperlink" Target="https://dart.fss.or.kr/dsaf001/main.do?rcpNo=20240708900129" TargetMode="External"/><Relationship Id="rId44" Type="http://schemas.openxmlformats.org/officeDocument/2006/relationships/hyperlink" Target="https://dart.fss.or.kr/dsaf001/main.do?rcpNo=20230524900380" TargetMode="External"/><Relationship Id="rId86" Type="http://schemas.openxmlformats.org/officeDocument/2006/relationships/hyperlink" Target="https://dart.fss.or.kr/dsaf001/main.do?rcpNo=20230227900530" TargetMode="External"/><Relationship Id="rId151" Type="http://schemas.openxmlformats.org/officeDocument/2006/relationships/hyperlink" Target="https://dart.fss.or.kr/dsaf001/main.do?rcpNo=20230822900186" TargetMode="External"/><Relationship Id="rId389" Type="http://schemas.openxmlformats.org/officeDocument/2006/relationships/hyperlink" Target="http://dart.fss.or.kr/dsaf001/main.do?rcpNo=20200228900522" TargetMode="External"/><Relationship Id="rId193" Type="http://schemas.openxmlformats.org/officeDocument/2006/relationships/hyperlink" Target="https://dart.fss.or.kr/dsaf001/main.do?rcpNo=20220428900266" TargetMode="External"/><Relationship Id="rId207" Type="http://schemas.openxmlformats.org/officeDocument/2006/relationships/hyperlink" Target="https://dart.fss.or.kr/dsaf001/main.do?rcpNo=20220329801355" TargetMode="External"/><Relationship Id="rId249" Type="http://schemas.openxmlformats.org/officeDocument/2006/relationships/hyperlink" Target="http://dart.fss.or.kr/dsaf001/main.do?rcpNo=20211026900274" TargetMode="External"/><Relationship Id="rId414" Type="http://schemas.openxmlformats.org/officeDocument/2006/relationships/hyperlink" Target="http://dart.fss.or.kr/dsaf001/main.do?rcpNo=20191108800489" TargetMode="External"/><Relationship Id="rId456" Type="http://schemas.openxmlformats.org/officeDocument/2006/relationships/hyperlink" Target="https://dart.fss.or.kr/dsaf001/main.do?rcpNo=20231127800266" TargetMode="External"/><Relationship Id="rId498" Type="http://schemas.openxmlformats.org/officeDocument/2006/relationships/hyperlink" Target="http://dart.fss.or.kr/dsaf001/main.do?rcpNo=20240813800252" TargetMode="External"/><Relationship Id="rId13" Type="http://schemas.openxmlformats.org/officeDocument/2006/relationships/hyperlink" Target="https://dart.fss.or.kr/dsaf001/main.do?rcpNo=20230724900532" TargetMode="External"/><Relationship Id="rId109" Type="http://schemas.openxmlformats.org/officeDocument/2006/relationships/hyperlink" Target="https://dart.fss.or.kr/dsaf001/main.do?rcpNo=20221220900403" TargetMode="External"/><Relationship Id="rId260" Type="http://schemas.openxmlformats.org/officeDocument/2006/relationships/hyperlink" Target="http://dart.fss.or.kr/dsaf001/main.do?rcpNo=20210908800370" TargetMode="External"/><Relationship Id="rId316" Type="http://schemas.openxmlformats.org/officeDocument/2006/relationships/hyperlink" Target="http://dart.fss.or.kr/dsaf001/main.do?rcpNo=20210224900350" TargetMode="External"/><Relationship Id="rId523" Type="http://schemas.openxmlformats.org/officeDocument/2006/relationships/hyperlink" Target="https://dart.fss.or.kr/dsaf001/main.do?rcpNo=20240807800552" TargetMode="External"/><Relationship Id="rId55" Type="http://schemas.openxmlformats.org/officeDocument/2006/relationships/hyperlink" Target="https://dart.fss.or.kr/dsaf001/main.do?rcpNo=20230502800600" TargetMode="External"/><Relationship Id="rId97" Type="http://schemas.openxmlformats.org/officeDocument/2006/relationships/hyperlink" Target="https://dart.fss.or.kr/dsaf001/main.do?rcpNo=20230116800465" TargetMode="External"/><Relationship Id="rId120" Type="http://schemas.openxmlformats.org/officeDocument/2006/relationships/hyperlink" Target="http://dart.fss.or.kr/dsaf001/main.do?rcpNo=20211207900278" TargetMode="External"/><Relationship Id="rId358" Type="http://schemas.openxmlformats.org/officeDocument/2006/relationships/hyperlink" Target="http://dart.fss.or.kr/dsaf001/main.do?rcpNo=20200921800427" TargetMode="External"/><Relationship Id="rId162" Type="http://schemas.openxmlformats.org/officeDocument/2006/relationships/hyperlink" Target="https://dart.fss.or.kr/dsaf001/main.do?rcpNo=20231215900169" TargetMode="External"/><Relationship Id="rId218" Type="http://schemas.openxmlformats.org/officeDocument/2006/relationships/hyperlink" Target="https://dart.fss.or.kr/dsaf001/main.do?rcpNo=20220120900344" TargetMode="External"/><Relationship Id="rId425" Type="http://schemas.openxmlformats.org/officeDocument/2006/relationships/hyperlink" Target="http://dart.fss.or.kr/dsaf001/main.do?rcpNo=20190718800563" TargetMode="External"/><Relationship Id="rId467" Type="http://schemas.openxmlformats.org/officeDocument/2006/relationships/hyperlink" Target="https://dart.fss.or.kr/dsaf001/main.do?rcpNo=20231220800249" TargetMode="External"/><Relationship Id="rId271" Type="http://schemas.openxmlformats.org/officeDocument/2006/relationships/hyperlink" Target="http://dart.fss.or.kr/dsaf001/main.do?rcpNo=20210820800298" TargetMode="External"/><Relationship Id="rId24" Type="http://schemas.openxmlformats.org/officeDocument/2006/relationships/hyperlink" Target="https://dart.fss.or.kr/dsaf001/main.do?rcpNo=20230629900584" TargetMode="External"/><Relationship Id="rId66" Type="http://schemas.openxmlformats.org/officeDocument/2006/relationships/hyperlink" Target="https://dart.fss.or.kr/dsaf001/main.do?rcpNo=20230403900533" TargetMode="External"/><Relationship Id="rId131" Type="http://schemas.openxmlformats.org/officeDocument/2006/relationships/hyperlink" Target="https://dart.fss.or.kr/dsaf001/main.do?rcpNo=20221028900653" TargetMode="External"/><Relationship Id="rId327" Type="http://schemas.openxmlformats.org/officeDocument/2006/relationships/hyperlink" Target="http://dart.fss.or.kr/dsaf001/main.do?rcpNo=20201230900796" TargetMode="External"/><Relationship Id="rId369" Type="http://schemas.openxmlformats.org/officeDocument/2006/relationships/hyperlink" Target="http://dart.fss.or.kr/dsaf001/main.do?rcpNo=20200721900289" TargetMode="External"/><Relationship Id="rId534" Type="http://schemas.openxmlformats.org/officeDocument/2006/relationships/hyperlink" Target="https://dart.fss.or.kr/dsaf001/main.do?rcpNo=20240906900491" TargetMode="External"/><Relationship Id="rId173" Type="http://schemas.openxmlformats.org/officeDocument/2006/relationships/hyperlink" Target="https://dart.fss.or.kr/dsaf001/main.do?rcpNo=20240228900190" TargetMode="External"/><Relationship Id="rId229" Type="http://schemas.openxmlformats.org/officeDocument/2006/relationships/hyperlink" Target="https://dart.fss.or.kr/dsaf001/main.do?rcpNo=20211229900406" TargetMode="External"/><Relationship Id="rId380" Type="http://schemas.openxmlformats.org/officeDocument/2006/relationships/hyperlink" Target="http://dart.fss.or.kr/dsaf001/main.do?rcpNo=20200428800336" TargetMode="External"/><Relationship Id="rId436" Type="http://schemas.openxmlformats.org/officeDocument/2006/relationships/hyperlink" Target="https://dart.fss.or.kr/dsaf001/main.do?rcpNo=20230908800166" TargetMode="External"/><Relationship Id="rId240" Type="http://schemas.openxmlformats.org/officeDocument/2006/relationships/hyperlink" Target="http://dart.fss.or.kr/dsaf001/main.do?rcpNo=20211123800135" TargetMode="External"/><Relationship Id="rId478" Type="http://schemas.openxmlformats.org/officeDocument/2006/relationships/hyperlink" Target="https://dart.fss.or.kr/dsaf001/main.do?rcpNo=20240228801357" TargetMode="External"/><Relationship Id="rId35" Type="http://schemas.openxmlformats.org/officeDocument/2006/relationships/hyperlink" Target="https://dart.fss.or.kr/dsaf001/main.do?rcpNo=20230608800258" TargetMode="External"/><Relationship Id="rId77" Type="http://schemas.openxmlformats.org/officeDocument/2006/relationships/hyperlink" Target="http://dart.fss.or.kr/dsaf001/main.do?rcpNo=20230331803465" TargetMode="External"/><Relationship Id="rId100" Type="http://schemas.openxmlformats.org/officeDocument/2006/relationships/hyperlink" Target="https://dart.fss.or.kr/dsaf001/main.do?rcpNo=20221230800504" TargetMode="External"/><Relationship Id="rId282" Type="http://schemas.openxmlformats.org/officeDocument/2006/relationships/hyperlink" Target="http://dart.fss.or.kr/dsaf001/main.do?rcpNo=20210707800108" TargetMode="External"/><Relationship Id="rId338" Type="http://schemas.openxmlformats.org/officeDocument/2006/relationships/hyperlink" Target="http://dart.fss.or.kr/dsaf001/main.do?rcpNo=20201201800138" TargetMode="External"/><Relationship Id="rId503" Type="http://schemas.openxmlformats.org/officeDocument/2006/relationships/hyperlink" Target="https://dart.fss.or.kr/dsaf001/main.do?rcpNo=20240605900476" TargetMode="External"/><Relationship Id="rId8" Type="http://schemas.openxmlformats.org/officeDocument/2006/relationships/hyperlink" Target="https://dart.fss.or.kr/dsaf001/main.do?rcpNo=20220414800674" TargetMode="External"/><Relationship Id="rId142" Type="http://schemas.openxmlformats.org/officeDocument/2006/relationships/hyperlink" Target="https://dart.fss.or.kr/dsaf001/main.do?rcpNo=20240229900615" TargetMode="External"/><Relationship Id="rId184" Type="http://schemas.openxmlformats.org/officeDocument/2006/relationships/hyperlink" Target="https://dart.fss.or.kr/dsaf001/main.do?rcpNo=20220527900504" TargetMode="External"/><Relationship Id="rId391" Type="http://schemas.openxmlformats.org/officeDocument/2006/relationships/hyperlink" Target="http://dart.fss.or.kr/dsaf001/main.do?rcpNo=20200226800871" TargetMode="External"/><Relationship Id="rId405" Type="http://schemas.openxmlformats.org/officeDocument/2006/relationships/hyperlink" Target="http://dart.fss.or.kr/dsaf001/main.do?rcpNo=20191231900374" TargetMode="External"/><Relationship Id="rId447" Type="http://schemas.openxmlformats.org/officeDocument/2006/relationships/hyperlink" Target="https://dart.fss.or.kr/dsaf001/main.do?rcpNo=20231026800363" TargetMode="External"/><Relationship Id="rId251" Type="http://schemas.openxmlformats.org/officeDocument/2006/relationships/hyperlink" Target="http://dart.fss.or.kr/dsaf001/main.do?rcpNo=20211019900431" TargetMode="External"/><Relationship Id="rId489" Type="http://schemas.openxmlformats.org/officeDocument/2006/relationships/hyperlink" Target="https://dart.fss.or.kr/dsaf001/main.do?rcpNo=20240411900316" TargetMode="External"/><Relationship Id="rId46" Type="http://schemas.openxmlformats.org/officeDocument/2006/relationships/hyperlink" Target="https://dart.fss.or.kr/dsaf001/main.do?rcpNo=20230523900365" TargetMode="External"/><Relationship Id="rId293" Type="http://schemas.openxmlformats.org/officeDocument/2006/relationships/hyperlink" Target="http://dart.fss.or.kr/dsaf001/main.do?rcpNo=20210614900280" TargetMode="External"/><Relationship Id="rId307" Type="http://schemas.openxmlformats.org/officeDocument/2006/relationships/hyperlink" Target="http://dart.fss.or.kr/dsaf001/main.do?rcpNo=20210331903121" TargetMode="External"/><Relationship Id="rId349" Type="http://schemas.openxmlformats.org/officeDocument/2006/relationships/hyperlink" Target="http://dart.fss.or.kr/dsaf001/main.do?rcpNo=20201016800445" TargetMode="External"/><Relationship Id="rId514" Type="http://schemas.openxmlformats.org/officeDocument/2006/relationships/hyperlink" Target="https://dart.fss.or.kr/dsaf001/main.do?rcpNo=20240710900550" TargetMode="External"/><Relationship Id="rId88" Type="http://schemas.openxmlformats.org/officeDocument/2006/relationships/hyperlink" Target="https://dart.fss.or.kr/dsaf001/main.do?rcpNo=20231117900056" TargetMode="External"/><Relationship Id="rId111" Type="http://schemas.openxmlformats.org/officeDocument/2006/relationships/hyperlink" Target="https://dart.fss.or.kr/dsaf001/main.do?rcpNo=20221216900572" TargetMode="External"/><Relationship Id="rId153" Type="http://schemas.openxmlformats.org/officeDocument/2006/relationships/hyperlink" Target="https://dart.fss.or.kr/dsaf001/main.do?rcpNo=20220809800163" TargetMode="External"/><Relationship Id="rId195" Type="http://schemas.openxmlformats.org/officeDocument/2006/relationships/hyperlink" Target="https://dart.fss.or.kr/dsaf001/main.do?rcpNo=20240419900185" TargetMode="External"/><Relationship Id="rId209" Type="http://schemas.openxmlformats.org/officeDocument/2006/relationships/hyperlink" Target="https://dart.fss.or.kr/dsaf001/main.do?rcpNo=20220304901100" TargetMode="External"/><Relationship Id="rId360" Type="http://schemas.openxmlformats.org/officeDocument/2006/relationships/hyperlink" Target="http://dart.fss.or.kr/dsaf001/main.do?rcpNo=20200828900498" TargetMode="External"/><Relationship Id="rId416" Type="http://schemas.openxmlformats.org/officeDocument/2006/relationships/hyperlink" Target="http://dart.fss.or.kr/dsaf001/main.do?rcpNo=20191031900200" TargetMode="External"/><Relationship Id="rId220" Type="http://schemas.openxmlformats.org/officeDocument/2006/relationships/hyperlink" Target="https://dart.fss.or.kr/dsaf001/main.do?rcpNo=20220124800574" TargetMode="External"/><Relationship Id="rId458" Type="http://schemas.openxmlformats.org/officeDocument/2006/relationships/hyperlink" Target="https://dart.fss.or.kr/dsaf001/main.do?rcpNo=20231206800290" TargetMode="External"/><Relationship Id="rId15" Type="http://schemas.openxmlformats.org/officeDocument/2006/relationships/hyperlink" Target="https://dart.fss.or.kr/dsaf001/main.do?rcpNo=20230721900254" TargetMode="External"/><Relationship Id="rId57" Type="http://schemas.openxmlformats.org/officeDocument/2006/relationships/hyperlink" Target="https://dart.fss.or.kr/dsaf001/main.do?rcpNo=20230428800479" TargetMode="External"/><Relationship Id="rId262" Type="http://schemas.openxmlformats.org/officeDocument/2006/relationships/hyperlink" Target="http://dart.fss.or.kr/dsaf001/main.do?rcpNo=20210903800178" TargetMode="External"/><Relationship Id="rId318" Type="http://schemas.openxmlformats.org/officeDocument/2006/relationships/hyperlink" Target="http://dart.fss.or.kr/dsaf001/main.do?rcpNo=20210223900495" TargetMode="External"/><Relationship Id="rId525" Type="http://schemas.openxmlformats.org/officeDocument/2006/relationships/hyperlink" Target="https://dart.fss.or.kr/dsaf001/main.do?rcpNo=20240813801041" TargetMode="External"/><Relationship Id="rId99" Type="http://schemas.openxmlformats.org/officeDocument/2006/relationships/hyperlink" Target="https://dart.fss.or.kr/dsaf001/main.do?rcpNo=20221230900284" TargetMode="External"/><Relationship Id="rId122" Type="http://schemas.openxmlformats.org/officeDocument/2006/relationships/hyperlink" Target="https://dart.fss.or.kr/dsaf001/main.do?rcpNo=20221117800125" TargetMode="External"/><Relationship Id="rId164" Type="http://schemas.openxmlformats.org/officeDocument/2006/relationships/hyperlink" Target="https://dart.fss.or.kr/dsaf001/main.do?rcpNo=20230914900223" TargetMode="External"/><Relationship Id="rId371" Type="http://schemas.openxmlformats.org/officeDocument/2006/relationships/hyperlink" Target="http://dart.fss.or.kr/dsaf001/main.do?rcpNo=20200630900257" TargetMode="External"/><Relationship Id="rId427" Type="http://schemas.openxmlformats.org/officeDocument/2006/relationships/hyperlink" Target="https://dart.fss.or.kr/dsaf001/main.do?rcpNo=20240730900284" TargetMode="External"/><Relationship Id="rId469" Type="http://schemas.openxmlformats.org/officeDocument/2006/relationships/hyperlink" Target="http://dart.fss.or.kr/dsaf001/main.do?rcpNo=20240430900545" TargetMode="External"/><Relationship Id="rId26" Type="http://schemas.openxmlformats.org/officeDocument/2006/relationships/hyperlink" Target="https://dart.fss.or.kr/dsaf001/main.do?rcpNo=20230626800094" TargetMode="External"/><Relationship Id="rId231" Type="http://schemas.openxmlformats.org/officeDocument/2006/relationships/hyperlink" Target="http://dart.fss.or.kr/dsaf001/main.do?rcpNo=20231228800377" TargetMode="External"/><Relationship Id="rId273" Type="http://schemas.openxmlformats.org/officeDocument/2006/relationships/hyperlink" Target="http://dart.fss.or.kr/dsaf001/main.do?rcpNo=20210810900265" TargetMode="External"/><Relationship Id="rId329" Type="http://schemas.openxmlformats.org/officeDocument/2006/relationships/hyperlink" Target="http://dart.fss.or.kr/dsaf001/main.do?rcpNo=20201230800954" TargetMode="External"/><Relationship Id="rId480" Type="http://schemas.openxmlformats.org/officeDocument/2006/relationships/hyperlink" Target="https://dart.fss.or.kr/dsaf001/main.do?rcpNo=20240305800094" TargetMode="External"/><Relationship Id="rId68" Type="http://schemas.openxmlformats.org/officeDocument/2006/relationships/hyperlink" Target="https://dart.fss.or.kr/dsaf001/main.do?rcpNo=20230424800184" TargetMode="External"/><Relationship Id="rId133" Type="http://schemas.openxmlformats.org/officeDocument/2006/relationships/hyperlink" Target="https://dart.fss.or.kr/dsaf001/main.do?rcpNo=20221017800445" TargetMode="External"/><Relationship Id="rId175" Type="http://schemas.openxmlformats.org/officeDocument/2006/relationships/hyperlink" Target="https://dart.fss.or.kr/dsaf001/main.do?rcpNo=20231114801990" TargetMode="External"/><Relationship Id="rId340" Type="http://schemas.openxmlformats.org/officeDocument/2006/relationships/hyperlink" Target="http://dart.fss.or.kr/dsaf001/main.do?rcpNo=20201130900312" TargetMode="External"/><Relationship Id="rId200" Type="http://schemas.openxmlformats.org/officeDocument/2006/relationships/hyperlink" Target="https://dart.fss.or.kr/dsaf001/main.do?rcpNo=20221228900127" TargetMode="External"/><Relationship Id="rId382" Type="http://schemas.openxmlformats.org/officeDocument/2006/relationships/hyperlink" Target="http://dart.fss.or.kr/dsaf001/main.do?rcpNo=20200413900645" TargetMode="External"/><Relationship Id="rId438" Type="http://schemas.openxmlformats.org/officeDocument/2006/relationships/hyperlink" Target="https://dart.fss.or.kr/dsaf001/main.do?rcpNo=20230912800112" TargetMode="External"/><Relationship Id="rId242" Type="http://schemas.openxmlformats.org/officeDocument/2006/relationships/hyperlink" Target="http://dart.fss.or.kr/dsaf001/main.do?rcpNo=20240730900178" TargetMode="External"/><Relationship Id="rId284" Type="http://schemas.openxmlformats.org/officeDocument/2006/relationships/hyperlink" Target="http://dart.fss.or.kr/dsaf001/main.do?rcpNo=20210630900334" TargetMode="External"/><Relationship Id="rId491" Type="http://schemas.openxmlformats.org/officeDocument/2006/relationships/hyperlink" Target="https://dart.fss.or.kr/dsaf001/main.do?rcpNo=20240424800596" TargetMode="External"/><Relationship Id="rId505" Type="http://schemas.openxmlformats.org/officeDocument/2006/relationships/hyperlink" Target="https://dart.fss.or.kr/dsaf001/main.do?rcpNo=20240611800335" TargetMode="External"/><Relationship Id="rId37" Type="http://schemas.openxmlformats.org/officeDocument/2006/relationships/hyperlink" Target="https://dart.fss.or.kr/dsaf001/main.do?rcpNo=20230607800434" TargetMode="External"/><Relationship Id="rId79" Type="http://schemas.openxmlformats.org/officeDocument/2006/relationships/hyperlink" Target="https://dart.fss.or.kr/dsaf001/main.do?rcpNo=20230328901495" TargetMode="External"/><Relationship Id="rId102" Type="http://schemas.openxmlformats.org/officeDocument/2006/relationships/hyperlink" Target="https://dart.fss.or.kr/dsaf001/main.do?rcpNo=20220407900204" TargetMode="External"/><Relationship Id="rId144" Type="http://schemas.openxmlformats.org/officeDocument/2006/relationships/hyperlink" Target="https://dart.fss.or.kr/dsaf001/main.do?rcpNo=20220831900257" TargetMode="External"/><Relationship Id="rId90" Type="http://schemas.openxmlformats.org/officeDocument/2006/relationships/hyperlink" Target="https://dart.fss.or.kr/dsaf001/main.do?rcpNo=20230216800315" TargetMode="External"/><Relationship Id="rId186" Type="http://schemas.openxmlformats.org/officeDocument/2006/relationships/hyperlink" Target="https://dart.fss.or.kr/dsaf001/main.do?rcpNo=20220527800314" TargetMode="External"/><Relationship Id="rId351" Type="http://schemas.openxmlformats.org/officeDocument/2006/relationships/hyperlink" Target="http://dart.fss.or.kr/dsaf001/main.do?rcpNo=20201007900136" TargetMode="External"/><Relationship Id="rId393" Type="http://schemas.openxmlformats.org/officeDocument/2006/relationships/hyperlink" Target="http://dart.fss.or.kr/dsaf001/main.do?rcpNo=20200221800165" TargetMode="External"/><Relationship Id="rId407" Type="http://schemas.openxmlformats.org/officeDocument/2006/relationships/hyperlink" Target="http://dart.fss.or.kr/dsaf001/main.do?rcpNo=20191224900560" TargetMode="External"/><Relationship Id="rId449" Type="http://schemas.openxmlformats.org/officeDocument/2006/relationships/hyperlink" Target="https://dart.fss.or.kr/dsaf001/main.do?rcpNo=20231030800642" TargetMode="External"/><Relationship Id="rId211" Type="http://schemas.openxmlformats.org/officeDocument/2006/relationships/hyperlink" Target="https://dart.fss.or.kr/dsaf001/main.do?rcpNo=20220228900931" TargetMode="External"/><Relationship Id="rId253" Type="http://schemas.openxmlformats.org/officeDocument/2006/relationships/hyperlink" Target="https://dart.fss.or.kr/dsaf001/main.do?rcpNo=20210930800784" TargetMode="External"/><Relationship Id="rId295" Type="http://schemas.openxmlformats.org/officeDocument/2006/relationships/hyperlink" Target="http://dart.fss.or.kr/dsaf001/main.do?rcpNo=20210527800415" TargetMode="External"/><Relationship Id="rId309" Type="http://schemas.openxmlformats.org/officeDocument/2006/relationships/hyperlink" Target="http://dart.fss.or.kr/dsaf001/main.do?rcpNo=20210329801731" TargetMode="External"/><Relationship Id="rId460" Type="http://schemas.openxmlformats.org/officeDocument/2006/relationships/hyperlink" Target="https://dart.fss.or.kr/dsaf001/main.do?rcpNo=20231207800487" TargetMode="External"/><Relationship Id="rId516" Type="http://schemas.openxmlformats.org/officeDocument/2006/relationships/hyperlink" Target="https://dart.fss.or.kr/dsaf001/main.do?rcpNo=20240719800126" TargetMode="External"/><Relationship Id="rId48" Type="http://schemas.openxmlformats.org/officeDocument/2006/relationships/hyperlink" Target="https://dart.fss.or.kr/dsaf001/main.do?rcpNo=20231218900359" TargetMode="External"/><Relationship Id="rId113" Type="http://schemas.openxmlformats.org/officeDocument/2006/relationships/hyperlink" Target="https://dart.fss.or.kr/dsaf001/main.do?rcpNo=20221214900742" TargetMode="External"/><Relationship Id="rId320" Type="http://schemas.openxmlformats.org/officeDocument/2006/relationships/hyperlink" Target="http://dart.fss.or.kr/dsaf001/main.do?rcpNo=20210215900470" TargetMode="External"/><Relationship Id="rId155" Type="http://schemas.openxmlformats.org/officeDocument/2006/relationships/hyperlink" Target="https://dart.fss.or.kr/dsaf001/main.do?rcpNo=20220804900186" TargetMode="External"/><Relationship Id="rId197" Type="http://schemas.openxmlformats.org/officeDocument/2006/relationships/hyperlink" Target="https://dart.fss.or.kr/dsaf001/main.do?rcpNo=20220413800413" TargetMode="External"/><Relationship Id="rId362" Type="http://schemas.openxmlformats.org/officeDocument/2006/relationships/hyperlink" Target="http://dart.fss.or.kr/dsaf001/main.do?rcpNo=20200805800107" TargetMode="External"/><Relationship Id="rId418" Type="http://schemas.openxmlformats.org/officeDocument/2006/relationships/hyperlink" Target="http://dart.fss.or.kr/dsaf001/main.do?rcpNo=20191029900090" TargetMode="External"/><Relationship Id="rId222" Type="http://schemas.openxmlformats.org/officeDocument/2006/relationships/hyperlink" Target="https://dart.fss.or.kr/dsaf001/main.do?rcpNo=20220120900360" TargetMode="External"/><Relationship Id="rId264" Type="http://schemas.openxmlformats.org/officeDocument/2006/relationships/hyperlink" Target="http://dart.fss.or.kr/dsaf001/main.do?rcpNo=20210902900349" TargetMode="External"/><Relationship Id="rId471" Type="http://schemas.openxmlformats.org/officeDocument/2006/relationships/hyperlink" Target="http://dart.fss.or.kr/dsaf001/main.do?rcpNo=20240202901143" TargetMode="External"/><Relationship Id="rId17" Type="http://schemas.openxmlformats.org/officeDocument/2006/relationships/hyperlink" Target="https://dart.fss.or.kr/dsaf001/main.do?rcpNo=20230703900148" TargetMode="External"/><Relationship Id="rId59" Type="http://schemas.openxmlformats.org/officeDocument/2006/relationships/hyperlink" Target="https://dart.fss.or.kr/dsaf001/main.do?rcpNo=20230630900685" TargetMode="External"/><Relationship Id="rId124" Type="http://schemas.openxmlformats.org/officeDocument/2006/relationships/hyperlink" Target="https://dart.fss.or.kr/dsaf001/main.do?rcpNo=20231123900370" TargetMode="External"/><Relationship Id="rId527" Type="http://schemas.openxmlformats.org/officeDocument/2006/relationships/hyperlink" Target="https://dart.fss.or.kr/dsaf001/main.do?rcpNo=20240819900248" TargetMode="External"/><Relationship Id="rId70" Type="http://schemas.openxmlformats.org/officeDocument/2006/relationships/hyperlink" Target="https://dart.fss.or.kr/dsaf001/main.do?rcpNo=20230831900321" TargetMode="External"/><Relationship Id="rId166" Type="http://schemas.openxmlformats.org/officeDocument/2006/relationships/hyperlink" Target="https://dart.fss.or.kr/dsaf001/main.do?rcpNo=20220713900383" TargetMode="External"/><Relationship Id="rId331" Type="http://schemas.openxmlformats.org/officeDocument/2006/relationships/hyperlink" Target="http://dart.fss.or.kr/dsaf001/main.do?rcpNo=20201228800135" TargetMode="External"/><Relationship Id="rId373" Type="http://schemas.openxmlformats.org/officeDocument/2006/relationships/hyperlink" Target="http://dart.fss.or.kr/dsaf001/main.do?rcpNo=20200617900239" TargetMode="External"/><Relationship Id="rId429" Type="http://schemas.openxmlformats.org/officeDocument/2006/relationships/hyperlink" Target="http://dart.fss.or.kr/dsaf001/main.do?rcpNo=20201228900051" TargetMode="External"/><Relationship Id="rId1" Type="http://schemas.openxmlformats.org/officeDocument/2006/relationships/hyperlink" Target="https://dart.fss.or.kr/dsaf001/main.do?rcpNo=20230911800566" TargetMode="External"/><Relationship Id="rId233" Type="http://schemas.openxmlformats.org/officeDocument/2006/relationships/hyperlink" Target="http://dart.fss.or.kr/dsaf001/main.do?rcpNo=20231207800553" TargetMode="External"/><Relationship Id="rId440" Type="http://schemas.openxmlformats.org/officeDocument/2006/relationships/hyperlink" Target="https://dart.fss.or.kr/dsaf001/main.do?rcpNo=20230926900314" TargetMode="External"/><Relationship Id="rId28" Type="http://schemas.openxmlformats.org/officeDocument/2006/relationships/hyperlink" Target="https://dart.fss.or.kr/dsaf001/main.do?rcpNo=20230620900425" TargetMode="External"/><Relationship Id="rId275" Type="http://schemas.openxmlformats.org/officeDocument/2006/relationships/hyperlink" Target="http://dart.fss.or.kr/dsaf001/main.do?rcpNo=20210723800508" TargetMode="External"/><Relationship Id="rId300" Type="http://schemas.openxmlformats.org/officeDocument/2006/relationships/hyperlink" Target="http://dart.fss.or.kr/dsaf001/main.do?rcpNo=20210513800142" TargetMode="External"/><Relationship Id="rId482" Type="http://schemas.openxmlformats.org/officeDocument/2006/relationships/hyperlink" Target="https://dart.fss.or.kr/dsaf001/main.do?rcpNo=20240306900140" TargetMode="External"/><Relationship Id="rId81" Type="http://schemas.openxmlformats.org/officeDocument/2006/relationships/hyperlink" Target="https://dart.fss.or.kr/dsaf001/main.do?rcpNo=20230320801054" TargetMode="External"/><Relationship Id="rId135" Type="http://schemas.openxmlformats.org/officeDocument/2006/relationships/hyperlink" Target="http://dart.fss.or.kr/dsaf001/main.do?rcpNo=20200811800053" TargetMode="External"/><Relationship Id="rId177" Type="http://schemas.openxmlformats.org/officeDocument/2006/relationships/hyperlink" Target="https://dart.fss.or.kr/dsaf001/main.do?rcpNo=20220620800628" TargetMode="External"/><Relationship Id="rId342" Type="http://schemas.openxmlformats.org/officeDocument/2006/relationships/hyperlink" Target="http://dart.fss.or.kr/dsaf001/main.do?rcpNo=20201123900530" TargetMode="External"/><Relationship Id="rId384" Type="http://schemas.openxmlformats.org/officeDocument/2006/relationships/hyperlink" Target="http://dart.fss.or.kr/dsaf001/main.do?rcpNo=20200330801783" TargetMode="External"/><Relationship Id="rId202" Type="http://schemas.openxmlformats.org/officeDocument/2006/relationships/hyperlink" Target="https://dart.fss.or.kr/dsaf001/main.do?rcpNo=20220331801033" TargetMode="External"/><Relationship Id="rId244" Type="http://schemas.openxmlformats.org/officeDocument/2006/relationships/hyperlink" Target="http://dart.fss.or.kr/dsaf001/main.do?rcpNo=20211117900140" TargetMode="External"/><Relationship Id="rId39" Type="http://schemas.openxmlformats.org/officeDocument/2006/relationships/hyperlink" Target="https://dart.fss.or.kr/dsaf001/main.do?rcpNo=20230605800274" TargetMode="External"/><Relationship Id="rId286" Type="http://schemas.openxmlformats.org/officeDocument/2006/relationships/hyperlink" Target="http://dart.fss.or.kr/dsaf001/main.do?rcpNo=20240618800206" TargetMode="External"/><Relationship Id="rId451" Type="http://schemas.openxmlformats.org/officeDocument/2006/relationships/hyperlink" Target="https://dart.fss.or.kr/dsaf001/main.do?rcpNo=20231107900205" TargetMode="External"/><Relationship Id="rId493" Type="http://schemas.openxmlformats.org/officeDocument/2006/relationships/hyperlink" Target="https://dart.fss.or.kr/dsaf001/main.do?rcpNo=20240429800762" TargetMode="External"/><Relationship Id="rId507" Type="http://schemas.openxmlformats.org/officeDocument/2006/relationships/hyperlink" Target="https://dart.fss.or.kr/dsaf001/main.do?rcpNo=20240612800420" TargetMode="External"/><Relationship Id="rId50" Type="http://schemas.openxmlformats.org/officeDocument/2006/relationships/hyperlink" Target="https://dart.fss.or.kr/dsaf001/main.do?rcpNo=20230516800152" TargetMode="External"/><Relationship Id="rId104" Type="http://schemas.openxmlformats.org/officeDocument/2006/relationships/hyperlink" Target="https://dart.fss.or.kr/dsaf001/main.do?rcpNo=20231222900819" TargetMode="External"/><Relationship Id="rId146" Type="http://schemas.openxmlformats.org/officeDocument/2006/relationships/hyperlink" Target="https://dart.fss.or.kr/dsaf001/main.do?rcpNo=20220531900172" TargetMode="External"/><Relationship Id="rId188" Type="http://schemas.openxmlformats.org/officeDocument/2006/relationships/hyperlink" Target="https://dart.fss.or.kr/dsaf001/main.do?rcpNo=20240603800480" TargetMode="External"/><Relationship Id="rId311" Type="http://schemas.openxmlformats.org/officeDocument/2006/relationships/hyperlink" Target="http://dart.fss.or.kr/dsaf001/main.do?rcpNo=20210312900689" TargetMode="External"/><Relationship Id="rId353" Type="http://schemas.openxmlformats.org/officeDocument/2006/relationships/hyperlink" Target="http://dart.fss.or.kr/dsaf001/main.do?rcpNo=20200929800337" TargetMode="External"/><Relationship Id="rId395" Type="http://schemas.openxmlformats.org/officeDocument/2006/relationships/hyperlink" Target="http://dart.fss.or.kr/dsaf001/main.do?rcpNo=20200211800353" TargetMode="External"/><Relationship Id="rId409" Type="http://schemas.openxmlformats.org/officeDocument/2006/relationships/hyperlink" Target="http://dart.fss.or.kr/dsaf001/main.do?rcpNo=20191219900529" TargetMode="External"/><Relationship Id="rId92" Type="http://schemas.openxmlformats.org/officeDocument/2006/relationships/hyperlink" Target="https://dart.fss.or.kr/dsaf001/main.do?rcpNo=20230208900770" TargetMode="External"/><Relationship Id="rId213" Type="http://schemas.openxmlformats.org/officeDocument/2006/relationships/hyperlink" Target="https://dart.fss.or.kr/dsaf001/main.do?rcpNo=20220222800890" TargetMode="External"/><Relationship Id="rId420" Type="http://schemas.openxmlformats.org/officeDocument/2006/relationships/hyperlink" Target="http://dart.fss.or.kr/dsaf001/main.do?rcpNo=20191010800737" TargetMode="External"/><Relationship Id="rId255" Type="http://schemas.openxmlformats.org/officeDocument/2006/relationships/hyperlink" Target="http://dart.fss.or.kr/dsaf001/main.do?rcpNo=20210917800260" TargetMode="External"/><Relationship Id="rId297" Type="http://schemas.openxmlformats.org/officeDocument/2006/relationships/hyperlink" Target="http://dart.fss.or.kr/dsaf001/main.do?rcpNo=20210525800371" TargetMode="External"/><Relationship Id="rId462" Type="http://schemas.openxmlformats.org/officeDocument/2006/relationships/hyperlink" Target="https://dart.fss.or.kr/dsaf001/main.do?rcpNo=20231208800371" TargetMode="External"/><Relationship Id="rId518" Type="http://schemas.openxmlformats.org/officeDocument/2006/relationships/hyperlink" Target="https://dart.fss.or.kr/dsaf001/main.do?rcpNo=20240723900548" TargetMode="External"/><Relationship Id="rId115" Type="http://schemas.openxmlformats.org/officeDocument/2006/relationships/hyperlink" Target="https://dart.fss.or.kr/dsaf001/main.do?rcpNo=20221206800442" TargetMode="External"/><Relationship Id="rId157" Type="http://schemas.openxmlformats.org/officeDocument/2006/relationships/hyperlink" Target="https://dart.fss.or.kr/dsaf001/main.do?rcpNo=20220801900437" TargetMode="External"/><Relationship Id="rId322" Type="http://schemas.openxmlformats.org/officeDocument/2006/relationships/hyperlink" Target="http://dart.fss.or.kr/dsaf001/main.do?rcpNo=20210209800893" TargetMode="External"/><Relationship Id="rId364" Type="http://schemas.openxmlformats.org/officeDocument/2006/relationships/hyperlink" Target="http://dart.fss.or.kr/dsaf001/main.do?rcpNo=20200730900302" TargetMode="External"/><Relationship Id="rId61" Type="http://schemas.openxmlformats.org/officeDocument/2006/relationships/hyperlink" Target="https://dart.fss.or.kr/dsaf001/main.do?rcpNo=20230424800184" TargetMode="External"/><Relationship Id="rId199" Type="http://schemas.openxmlformats.org/officeDocument/2006/relationships/hyperlink" Target="https://dart.fss.or.kr/dsaf001/main.do?rcpNo=20220408800668" TargetMode="External"/><Relationship Id="rId19" Type="http://schemas.openxmlformats.org/officeDocument/2006/relationships/hyperlink" Target="https://dart.fss.or.kr/dsaf001/main.do?rcpNo=20240216900236" TargetMode="External"/><Relationship Id="rId224" Type="http://schemas.openxmlformats.org/officeDocument/2006/relationships/hyperlink" Target="https://dart.fss.or.kr/dsaf001/main.do?rcpNo=20220107900516" TargetMode="External"/><Relationship Id="rId266" Type="http://schemas.openxmlformats.org/officeDocument/2006/relationships/hyperlink" Target="http://dart.fss.or.kr/dsaf001/main.do?rcpNo=20210831900296" TargetMode="External"/><Relationship Id="rId431" Type="http://schemas.openxmlformats.org/officeDocument/2006/relationships/hyperlink" Target="https://dart.fss.or.kr/dsaf001/main.do?rcpNo=20230823900103" TargetMode="External"/><Relationship Id="rId473" Type="http://schemas.openxmlformats.org/officeDocument/2006/relationships/hyperlink" Target="https://dart.fss.or.kr/dsaf001/main.do?rcpNo=20240219900786" TargetMode="External"/><Relationship Id="rId529" Type="http://schemas.openxmlformats.org/officeDocument/2006/relationships/hyperlink" Target="https://dart.fss.or.kr/dsaf001/main.do?rcpNo=20240822900109" TargetMode="External"/><Relationship Id="rId30" Type="http://schemas.openxmlformats.org/officeDocument/2006/relationships/hyperlink" Target="http://dart.fss.or.kr/dsaf001/main.do?rcpNo=20230612800214" TargetMode="External"/><Relationship Id="rId126" Type="http://schemas.openxmlformats.org/officeDocument/2006/relationships/hyperlink" Target="https://dart.fss.or.kr/dsaf001/main.do?rcpNo=20221108800399" TargetMode="External"/><Relationship Id="rId168" Type="http://schemas.openxmlformats.org/officeDocument/2006/relationships/hyperlink" Target="https://dart.fss.or.kr/dsaf001/main.do?rcpNo=20220708800379" TargetMode="External"/><Relationship Id="rId333" Type="http://schemas.openxmlformats.org/officeDocument/2006/relationships/hyperlink" Target="http://dart.fss.or.kr/dsaf001/main.do?rcpNo=20201228800136" TargetMode="External"/><Relationship Id="rId72" Type="http://schemas.openxmlformats.org/officeDocument/2006/relationships/hyperlink" Target="https://dart.fss.or.kr/dsaf001/main.do?rcpNo=20240531901286" TargetMode="External"/><Relationship Id="rId375" Type="http://schemas.openxmlformats.org/officeDocument/2006/relationships/hyperlink" Target="http://dart.fss.or.kr/dsaf001/main.do?rcpNo=20200610900294" TargetMode="External"/><Relationship Id="rId3" Type="http://schemas.openxmlformats.org/officeDocument/2006/relationships/hyperlink" Target="https://dart.fss.or.kr/dsaf001/main.do?rcpNo=20230810800418" TargetMode="External"/><Relationship Id="rId235" Type="http://schemas.openxmlformats.org/officeDocument/2006/relationships/hyperlink" Target="http://dart.fss.or.kr/dsaf001/main.do?rcpNo=20211213800200" TargetMode="External"/><Relationship Id="rId277" Type="http://schemas.openxmlformats.org/officeDocument/2006/relationships/hyperlink" Target="http://dart.fss.or.kr/dsaf001/main.do?rcpNo=20210817800016" TargetMode="External"/><Relationship Id="rId400" Type="http://schemas.openxmlformats.org/officeDocument/2006/relationships/hyperlink" Target="http://dart.fss.or.kr/dsaf001/main.do?rcpNo=20200128900682" TargetMode="External"/><Relationship Id="rId442" Type="http://schemas.openxmlformats.org/officeDocument/2006/relationships/hyperlink" Target="https://dart.fss.or.kr/dsaf001/main.do?rcpNo=20231005800196" TargetMode="External"/><Relationship Id="rId484" Type="http://schemas.openxmlformats.org/officeDocument/2006/relationships/hyperlink" Target="https://dart.fss.or.kr/dsaf001/main.do?rcpNo=20240620900156" TargetMode="External"/><Relationship Id="rId137" Type="http://schemas.openxmlformats.org/officeDocument/2006/relationships/hyperlink" Target="https://dart.fss.or.kr/dsaf001/main.do?rcpNo=20220930900768" TargetMode="External"/><Relationship Id="rId302" Type="http://schemas.openxmlformats.org/officeDocument/2006/relationships/hyperlink" Target="http://dart.fss.or.kr/dsaf001/main.do?rcpNo=20210507600579" TargetMode="External"/><Relationship Id="rId344" Type="http://schemas.openxmlformats.org/officeDocument/2006/relationships/hyperlink" Target="http://dart.fss.or.kr/dsaf001/main.do?rcpNo=20201113900545" TargetMode="External"/><Relationship Id="rId41" Type="http://schemas.openxmlformats.org/officeDocument/2006/relationships/hyperlink" Target="https://dart.fss.or.kr/dsaf001/main.do?rcpNo=20231027900625" TargetMode="External"/><Relationship Id="rId83" Type="http://schemas.openxmlformats.org/officeDocument/2006/relationships/hyperlink" Target="https://dart.fss.or.kr/dsaf001/main.do?rcpNo=20240715900283" TargetMode="External"/><Relationship Id="rId179" Type="http://schemas.openxmlformats.org/officeDocument/2006/relationships/hyperlink" Target="https://dart.fss.or.kr/dsaf001/main.do?rcpNo=20220613800121" TargetMode="External"/><Relationship Id="rId386" Type="http://schemas.openxmlformats.org/officeDocument/2006/relationships/hyperlink" Target="http://dart.fss.or.kr/dsaf001/main.do?rcpNo=20200327803564" TargetMode="External"/><Relationship Id="rId190" Type="http://schemas.openxmlformats.org/officeDocument/2006/relationships/hyperlink" Target="https://dart.fss.or.kr/dsaf001/main.do?rcpNo=20220512800503" TargetMode="External"/><Relationship Id="rId204" Type="http://schemas.openxmlformats.org/officeDocument/2006/relationships/hyperlink" Target="https://dart.fss.or.kr/dsaf001/main.do?rcpNo=20220331902183" TargetMode="External"/><Relationship Id="rId246" Type="http://schemas.openxmlformats.org/officeDocument/2006/relationships/hyperlink" Target="http://dart.fss.or.kr/dsaf001/main.do?rcpNo=20211029900294" TargetMode="External"/><Relationship Id="rId288" Type="http://schemas.openxmlformats.org/officeDocument/2006/relationships/hyperlink" Target="http://dart.fss.or.kr/dsaf001/main.do?rcpNo=20211125900340" TargetMode="External"/><Relationship Id="rId411" Type="http://schemas.openxmlformats.org/officeDocument/2006/relationships/hyperlink" Target="http://dart.fss.or.kr/dsaf001/main.do?rcpNo=20191125900045" TargetMode="External"/><Relationship Id="rId453" Type="http://schemas.openxmlformats.org/officeDocument/2006/relationships/hyperlink" Target="https://dart.fss.or.kr/dsaf001/main.do?rcpNo=20231121800089" TargetMode="External"/><Relationship Id="rId509" Type="http://schemas.openxmlformats.org/officeDocument/2006/relationships/hyperlink" Target="http://dart.fss.or.kr/dsaf001/main.do?rcpNo=20240618800411" TargetMode="External"/><Relationship Id="rId106" Type="http://schemas.openxmlformats.org/officeDocument/2006/relationships/hyperlink" Target="https://dart.fss.or.kr/dsaf001/main.do?rcpNo=20240830900609" TargetMode="External"/><Relationship Id="rId313" Type="http://schemas.openxmlformats.org/officeDocument/2006/relationships/hyperlink" Target="http://dart.fss.or.kr/dsaf001/main.do?rcpNo=20210304900701" TargetMode="External"/><Relationship Id="rId495" Type="http://schemas.openxmlformats.org/officeDocument/2006/relationships/hyperlink" Target="http://dart.fss.or.kr/dsaf001/main.do?rcpNo=20240507900397" TargetMode="External"/><Relationship Id="rId10" Type="http://schemas.openxmlformats.org/officeDocument/2006/relationships/hyperlink" Target="https://dart.fss.or.kr/dsaf001/main.do?rcpNo=20230728800446" TargetMode="External"/><Relationship Id="rId52" Type="http://schemas.openxmlformats.org/officeDocument/2006/relationships/hyperlink" Target="https://dart.fss.or.kr/dsaf001/main.do?rcpNo=20231222900142" TargetMode="External"/><Relationship Id="rId94" Type="http://schemas.openxmlformats.org/officeDocument/2006/relationships/hyperlink" Target="https://dart.fss.or.kr/dsaf001/main.do?rcpNo=20230206900159" TargetMode="External"/><Relationship Id="rId148" Type="http://schemas.openxmlformats.org/officeDocument/2006/relationships/hyperlink" Target="https://dart.fss.or.kr/dsaf001/main.do?rcpNo=20220825900287" TargetMode="External"/><Relationship Id="rId355" Type="http://schemas.openxmlformats.org/officeDocument/2006/relationships/hyperlink" Target="http://dart.fss.or.kr/dsaf001/main.do?rcpNo=20200925900451" TargetMode="External"/><Relationship Id="rId397" Type="http://schemas.openxmlformats.org/officeDocument/2006/relationships/hyperlink" Target="http://dart.fss.or.kr/dsaf001/main.do?rcpNo=20200131900884" TargetMode="External"/><Relationship Id="rId520" Type="http://schemas.openxmlformats.org/officeDocument/2006/relationships/hyperlink" Target="https://dart.fss.or.kr/dsaf001/main.do?rcpNo=20240726800615" TargetMode="External"/><Relationship Id="rId215" Type="http://schemas.openxmlformats.org/officeDocument/2006/relationships/hyperlink" Target="https://dart.fss.or.kr/dsaf001/main.do?rcpNo=20220218800847" TargetMode="External"/><Relationship Id="rId257" Type="http://schemas.openxmlformats.org/officeDocument/2006/relationships/hyperlink" Target="http://dart.fss.or.kr/dsaf001/main.do?rcpNo=20240628800511" TargetMode="External"/><Relationship Id="rId422" Type="http://schemas.openxmlformats.org/officeDocument/2006/relationships/hyperlink" Target="http://dart.fss.or.kr/dsaf001/main.do?rcpNo=20190923800017" TargetMode="External"/><Relationship Id="rId464" Type="http://schemas.openxmlformats.org/officeDocument/2006/relationships/hyperlink" Target="https://dart.fss.or.kr/dsaf001/main.do?rcpNo=20231215801103" TargetMode="External"/><Relationship Id="rId299" Type="http://schemas.openxmlformats.org/officeDocument/2006/relationships/hyperlink" Target="http://dart.fss.or.kr/dsaf001/main.do?rcpNo=20210514900135" TargetMode="External"/><Relationship Id="rId63" Type="http://schemas.openxmlformats.org/officeDocument/2006/relationships/hyperlink" Target="https://dart.fss.or.kr/dsaf001/main.do?rcpNo=20230927900800" TargetMode="External"/><Relationship Id="rId159" Type="http://schemas.openxmlformats.org/officeDocument/2006/relationships/hyperlink" Target="https://dart.fss.or.kr/dsaf001/main.do?rcpNo=20220728900611" TargetMode="External"/><Relationship Id="rId366" Type="http://schemas.openxmlformats.org/officeDocument/2006/relationships/hyperlink" Target="http://dart.fss.or.kr/dsaf001/main.do?rcpNo=20200724800628" TargetMode="External"/><Relationship Id="rId226" Type="http://schemas.openxmlformats.org/officeDocument/2006/relationships/hyperlink" Target="https://dart.fss.or.kr/dsaf001/main.do?rcpNo=20211231900024\" TargetMode="External"/><Relationship Id="rId433" Type="http://schemas.openxmlformats.org/officeDocument/2006/relationships/hyperlink" Target="https://dart.fss.or.kr/dsaf001/main.do?rcpNo=20230829900429" TargetMode="External"/><Relationship Id="rId74" Type="http://schemas.openxmlformats.org/officeDocument/2006/relationships/hyperlink" Target="http://dart.fss.or.kr/dsaf001/main.do?rcpNo=20230331803498" TargetMode="External"/><Relationship Id="rId377" Type="http://schemas.openxmlformats.org/officeDocument/2006/relationships/hyperlink" Target="http://dart.fss.or.kr/dsaf001/main.do?rcpNo=20200521900122" TargetMode="External"/><Relationship Id="rId500" Type="http://schemas.openxmlformats.org/officeDocument/2006/relationships/hyperlink" Target="http://dart.fss.or.kr/dsaf001/main.do?rcpNo=20240529900456" TargetMode="External"/><Relationship Id="rId5" Type="http://schemas.openxmlformats.org/officeDocument/2006/relationships/hyperlink" Target="https://dart.fss.or.kr/dsaf001/main.do?rcpNo=20230808800502" TargetMode="External"/><Relationship Id="rId237" Type="http://schemas.openxmlformats.org/officeDocument/2006/relationships/hyperlink" Target="http://dart.fss.or.kr/dsaf001/main.do?rcpNo=202112098003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rgb="FFFF0000"/>
  </sheetPr>
  <dimension ref="B1:E149"/>
  <sheetViews>
    <sheetView tabSelected="1" zoomScale="145" zoomScaleNormal="145" zoomScaleSheetLayoutView="100" workbookViewId="0">
      <selection activeCell="H85" sqref="H85"/>
    </sheetView>
  </sheetViews>
  <sheetFormatPr defaultColWidth="9" defaultRowHeight="15.6" x14ac:dyDescent="0.4"/>
  <cols>
    <col min="1" max="1" width="1.3984375" style="2" customWidth="1"/>
    <col min="2" max="2" width="9" style="2"/>
    <col min="3" max="3" width="16.69921875" style="2" bestFit="1" customWidth="1"/>
    <col min="4" max="4" width="68.3984375" style="132" bestFit="1" customWidth="1"/>
    <col min="5" max="5" width="15.69921875" style="126" customWidth="1"/>
    <col min="6" max="6" width="9" style="2"/>
    <col min="7" max="7" width="16" style="2" bestFit="1" customWidth="1"/>
    <col min="8" max="17" width="9" style="2"/>
    <col min="18" max="18" width="9.69921875" style="2" bestFit="1" customWidth="1"/>
    <col min="19" max="16384" width="9" style="2"/>
  </cols>
  <sheetData>
    <row r="1" spans="2:5" x14ac:dyDescent="0.4">
      <c r="B1" s="1"/>
    </row>
    <row r="2" spans="2:5" x14ac:dyDescent="0.4">
      <c r="B2" s="3" t="s">
        <v>3006</v>
      </c>
      <c r="C2" s="3" t="s">
        <v>0</v>
      </c>
      <c r="D2" s="3" t="s">
        <v>1</v>
      </c>
      <c r="E2" s="3" t="s">
        <v>2</v>
      </c>
    </row>
    <row r="3" spans="2:5" hidden="1" x14ac:dyDescent="0.4">
      <c r="B3" s="4" t="s">
        <v>4</v>
      </c>
      <c r="C3" s="4" t="s">
        <v>3155</v>
      </c>
      <c r="D3" s="135" t="s">
        <v>3156</v>
      </c>
      <c r="E3" s="5"/>
    </row>
    <row r="4" spans="2:5" hidden="1" x14ac:dyDescent="0.4">
      <c r="B4" s="4" t="s">
        <v>4</v>
      </c>
      <c r="C4" s="4" t="s">
        <v>3125</v>
      </c>
      <c r="D4" s="135" t="s">
        <v>3127</v>
      </c>
      <c r="E4" s="5"/>
    </row>
    <row r="5" spans="2:5" hidden="1" x14ac:dyDescent="0.4">
      <c r="B5" s="4" t="s">
        <v>4</v>
      </c>
      <c r="C5" s="4" t="s">
        <v>3162</v>
      </c>
      <c r="D5" s="135" t="s">
        <v>3165</v>
      </c>
      <c r="E5" s="5" t="s">
        <v>3136</v>
      </c>
    </row>
    <row r="6" spans="2:5" hidden="1" x14ac:dyDescent="0.4">
      <c r="B6" s="134" t="s">
        <v>4</v>
      </c>
      <c r="C6" s="134" t="s">
        <v>3162</v>
      </c>
      <c r="D6" s="136" t="s">
        <v>3163</v>
      </c>
      <c r="E6" s="5"/>
    </row>
    <row r="7" spans="2:5" hidden="1" x14ac:dyDescent="0.4">
      <c r="B7" s="4" t="s">
        <v>4</v>
      </c>
      <c r="C7" s="137" t="s">
        <v>3160</v>
      </c>
      <c r="D7" s="138" t="s">
        <v>3161</v>
      </c>
      <c r="E7" s="5"/>
    </row>
    <row r="8" spans="2:5" hidden="1" x14ac:dyDescent="0.4">
      <c r="B8" s="4" t="s">
        <v>4</v>
      </c>
      <c r="C8" s="4" t="s">
        <v>3160</v>
      </c>
      <c r="D8" s="135" t="s">
        <v>3177</v>
      </c>
      <c r="E8" s="5"/>
    </row>
    <row r="9" spans="2:5" hidden="1" x14ac:dyDescent="0.4">
      <c r="B9" s="4" t="s">
        <v>4</v>
      </c>
      <c r="C9" s="4" t="s">
        <v>3126</v>
      </c>
      <c r="D9" s="135" t="s">
        <v>3124</v>
      </c>
      <c r="E9" s="5"/>
    </row>
    <row r="10" spans="2:5" hidden="1" x14ac:dyDescent="0.4">
      <c r="B10" s="4" t="s">
        <v>4</v>
      </c>
      <c r="C10" s="4" t="s">
        <v>3166</v>
      </c>
      <c r="D10" s="135" t="s">
        <v>3167</v>
      </c>
      <c r="E10" s="5" t="s">
        <v>3136</v>
      </c>
    </row>
    <row r="11" spans="2:5" hidden="1" x14ac:dyDescent="0.4">
      <c r="B11" s="4" t="s">
        <v>4</v>
      </c>
      <c r="C11" s="4" t="s">
        <v>3166</v>
      </c>
      <c r="D11" s="135" t="s">
        <v>3204</v>
      </c>
      <c r="E11" s="5"/>
    </row>
    <row r="12" spans="2:5" hidden="1" x14ac:dyDescent="0.4">
      <c r="B12" s="4" t="s">
        <v>4</v>
      </c>
      <c r="C12" s="4" t="s">
        <v>3168</v>
      </c>
      <c r="D12" s="135" t="s">
        <v>3203</v>
      </c>
      <c r="E12" s="5" t="s">
        <v>3136</v>
      </c>
    </row>
    <row r="13" spans="2:5" hidden="1" x14ac:dyDescent="0.4">
      <c r="B13" s="4" t="s">
        <v>4</v>
      </c>
      <c r="C13" s="4" t="s">
        <v>3169</v>
      </c>
      <c r="D13" s="135" t="s">
        <v>3170</v>
      </c>
      <c r="E13" s="5" t="s">
        <v>3136</v>
      </c>
    </row>
    <row r="14" spans="2:5" hidden="1" x14ac:dyDescent="0.4">
      <c r="B14" s="134" t="s">
        <v>4</v>
      </c>
      <c r="C14" s="134" t="s">
        <v>3134</v>
      </c>
      <c r="D14" s="136" t="s">
        <v>3205</v>
      </c>
      <c r="E14" s="5"/>
    </row>
    <row r="15" spans="2:5" hidden="1" x14ac:dyDescent="0.4">
      <c r="B15" s="4" t="s">
        <v>4</v>
      </c>
      <c r="C15" s="4" t="s">
        <v>3134</v>
      </c>
      <c r="D15" s="135" t="s">
        <v>3135</v>
      </c>
      <c r="E15" s="5"/>
    </row>
    <row r="16" spans="2:5" hidden="1" x14ac:dyDescent="0.4">
      <c r="B16" s="4" t="s">
        <v>4</v>
      </c>
      <c r="C16" s="4" t="s">
        <v>3175</v>
      </c>
      <c r="D16" s="135" t="s">
        <v>3176</v>
      </c>
      <c r="E16" s="5"/>
    </row>
    <row r="17" spans="2:5" hidden="1" x14ac:dyDescent="0.4">
      <c r="B17" s="4" t="s">
        <v>4</v>
      </c>
      <c r="C17" s="4" t="s">
        <v>3164</v>
      </c>
      <c r="D17" s="135" t="s">
        <v>3171</v>
      </c>
      <c r="E17" s="5" t="s">
        <v>3136</v>
      </c>
    </row>
    <row r="18" spans="2:5" hidden="1" x14ac:dyDescent="0.4">
      <c r="B18" s="4" t="s">
        <v>4</v>
      </c>
      <c r="C18" s="4" t="s">
        <v>3172</v>
      </c>
      <c r="D18" s="135" t="s">
        <v>3173</v>
      </c>
      <c r="E18" s="5" t="s">
        <v>3136</v>
      </c>
    </row>
    <row r="19" spans="2:5" hidden="1" x14ac:dyDescent="0.4">
      <c r="B19" s="4" t="s">
        <v>4</v>
      </c>
      <c r="C19" s="4" t="s">
        <v>3172</v>
      </c>
      <c r="D19" s="135" t="s">
        <v>3206</v>
      </c>
      <c r="E19" s="5" t="s">
        <v>3136</v>
      </c>
    </row>
    <row r="20" spans="2:5" hidden="1" x14ac:dyDescent="0.4">
      <c r="B20" s="4" t="s">
        <v>4</v>
      </c>
      <c r="C20" s="4" t="s">
        <v>3157</v>
      </c>
      <c r="D20" s="135" t="s">
        <v>3215</v>
      </c>
      <c r="E20" s="5" t="s">
        <v>3136</v>
      </c>
    </row>
    <row r="21" spans="2:5" ht="31.2" hidden="1" x14ac:dyDescent="0.4">
      <c r="B21" s="4" t="s">
        <v>4</v>
      </c>
      <c r="C21" s="4" t="s">
        <v>3157</v>
      </c>
      <c r="D21" s="135" t="s">
        <v>3217</v>
      </c>
      <c r="E21" s="5" t="s">
        <v>3136</v>
      </c>
    </row>
    <row r="22" spans="2:5" hidden="1" x14ac:dyDescent="0.4">
      <c r="B22" s="4" t="s">
        <v>4</v>
      </c>
      <c r="C22" s="4" t="s">
        <v>3178</v>
      </c>
      <c r="D22" s="135" t="s">
        <v>3207</v>
      </c>
      <c r="E22" s="5" t="s">
        <v>3180</v>
      </c>
    </row>
    <row r="23" spans="2:5" hidden="1" x14ac:dyDescent="0.4">
      <c r="B23" s="4" t="s">
        <v>4</v>
      </c>
      <c r="C23" s="4" t="s">
        <v>3178</v>
      </c>
      <c r="D23" s="135" t="s">
        <v>3179</v>
      </c>
      <c r="E23" s="5" t="s">
        <v>3180</v>
      </c>
    </row>
    <row r="24" spans="2:5" ht="31.2" hidden="1" x14ac:dyDescent="0.4">
      <c r="B24" s="4" t="s">
        <v>4</v>
      </c>
      <c r="C24" s="4" t="s">
        <v>3174</v>
      </c>
      <c r="D24" s="135" t="s">
        <v>3218</v>
      </c>
      <c r="E24" s="5"/>
    </row>
    <row r="25" spans="2:5" ht="17.399999999999999" hidden="1" x14ac:dyDescent="0.4">
      <c r="B25" s="4" t="s">
        <v>4</v>
      </c>
      <c r="C25" s="4" t="s">
        <v>3174</v>
      </c>
      <c r="D25" s="135" t="s">
        <v>3194</v>
      </c>
      <c r="E25" s="8" t="s">
        <v>3193</v>
      </c>
    </row>
    <row r="26" spans="2:5" hidden="1" x14ac:dyDescent="0.4">
      <c r="B26" s="4" t="s">
        <v>4</v>
      </c>
      <c r="C26" s="4" t="s">
        <v>3181</v>
      </c>
      <c r="D26" s="135" t="s">
        <v>3182</v>
      </c>
      <c r="E26" s="5" t="s">
        <v>3183</v>
      </c>
    </row>
    <row r="27" spans="2:5" ht="17.399999999999999" hidden="1" x14ac:dyDescent="0.4">
      <c r="B27" s="4" t="s">
        <v>4</v>
      </c>
      <c r="C27" s="4" t="s">
        <v>3189</v>
      </c>
      <c r="D27" s="135" t="s">
        <v>3190</v>
      </c>
      <c r="E27" s="8" t="s">
        <v>3191</v>
      </c>
    </row>
    <row r="28" spans="2:5" hidden="1" x14ac:dyDescent="0.4">
      <c r="B28" s="4" t="s">
        <v>4</v>
      </c>
      <c r="C28" s="4" t="s">
        <v>3174</v>
      </c>
      <c r="D28" s="135" t="s">
        <v>3216</v>
      </c>
      <c r="E28" s="5" t="s">
        <v>3136</v>
      </c>
    </row>
    <row r="29" spans="2:5" ht="16.2" hidden="1" customHeight="1" x14ac:dyDescent="0.4">
      <c r="B29" s="137" t="s">
        <v>4</v>
      </c>
      <c r="C29" s="137" t="s">
        <v>3128</v>
      </c>
      <c r="D29" s="143" t="s">
        <v>3129</v>
      </c>
      <c r="E29" s="144"/>
    </row>
    <row r="30" spans="2:5" hidden="1" x14ac:dyDescent="0.4">
      <c r="B30" s="139" t="s">
        <v>4</v>
      </c>
      <c r="C30" s="139" t="s">
        <v>3128</v>
      </c>
      <c r="D30" s="142" t="s">
        <v>3224</v>
      </c>
      <c r="E30" s="141" t="s">
        <v>3136</v>
      </c>
    </row>
    <row r="31" spans="2:5" ht="140.4" hidden="1" x14ac:dyDescent="0.4">
      <c r="B31" s="139" t="s">
        <v>4</v>
      </c>
      <c r="C31" s="139" t="s">
        <v>3128</v>
      </c>
      <c r="D31" s="140" t="s">
        <v>3219</v>
      </c>
      <c r="E31" s="141"/>
    </row>
    <row r="32" spans="2:5" ht="62.4" hidden="1" x14ac:dyDescent="0.4">
      <c r="B32" s="4" t="s">
        <v>4</v>
      </c>
      <c r="C32" s="4" t="s">
        <v>3158</v>
      </c>
      <c r="D32" s="135" t="s">
        <v>3220</v>
      </c>
      <c r="E32" s="5"/>
    </row>
    <row r="33" spans="2:5" hidden="1" x14ac:dyDescent="0.4">
      <c r="B33" s="137" t="s">
        <v>4</v>
      </c>
      <c r="C33" s="137" t="s">
        <v>3158</v>
      </c>
      <c r="D33" s="138" t="s">
        <v>3223</v>
      </c>
      <c r="E33" s="144"/>
    </row>
    <row r="34" spans="2:5" hidden="1" x14ac:dyDescent="0.4">
      <c r="B34" s="4" t="s">
        <v>4</v>
      </c>
      <c r="C34" s="4" t="s">
        <v>3158</v>
      </c>
      <c r="D34" s="135" t="s">
        <v>3222</v>
      </c>
      <c r="E34" s="5"/>
    </row>
    <row r="35" spans="2:5" ht="16.2" hidden="1" customHeight="1" x14ac:dyDescent="0.4">
      <c r="B35" s="4" t="s">
        <v>4</v>
      </c>
      <c r="C35" s="4" t="s">
        <v>3159</v>
      </c>
      <c r="D35" s="135" t="s">
        <v>3221</v>
      </c>
      <c r="E35" s="5" t="s">
        <v>3136</v>
      </c>
    </row>
    <row r="36" spans="2:5" ht="16.2" hidden="1" customHeight="1" x14ac:dyDescent="0.4">
      <c r="B36" s="4" t="s">
        <v>4</v>
      </c>
      <c r="C36" s="4" t="s">
        <v>3208</v>
      </c>
      <c r="D36" s="135" t="s">
        <v>3209</v>
      </c>
      <c r="E36" s="5" t="s">
        <v>3136</v>
      </c>
    </row>
    <row r="37" spans="2:5" ht="16.2" hidden="1" customHeight="1" x14ac:dyDescent="0.4">
      <c r="B37" s="4" t="s">
        <v>4</v>
      </c>
      <c r="C37" s="4" t="s">
        <v>3225</v>
      </c>
      <c r="D37" s="135" t="s">
        <v>3226</v>
      </c>
      <c r="E37" s="5" t="s">
        <v>3136</v>
      </c>
    </row>
    <row r="38" spans="2:5" ht="16.2" hidden="1" customHeight="1" x14ac:dyDescent="0.4">
      <c r="B38" s="4" t="s">
        <v>4</v>
      </c>
      <c r="C38" s="4" t="s">
        <v>3210</v>
      </c>
      <c r="D38" s="135" t="s">
        <v>3227</v>
      </c>
      <c r="E38" s="5" t="s">
        <v>3136</v>
      </c>
    </row>
    <row r="39" spans="2:5" ht="31.2" hidden="1" x14ac:dyDescent="0.4">
      <c r="B39" s="4" t="s">
        <v>4</v>
      </c>
      <c r="C39" s="4" t="s">
        <v>3210</v>
      </c>
      <c r="D39" s="135" t="s">
        <v>3211</v>
      </c>
      <c r="E39" s="5" t="s">
        <v>3212</v>
      </c>
    </row>
    <row r="40" spans="2:5" ht="16.2" hidden="1" customHeight="1" x14ac:dyDescent="0.4">
      <c r="B40" s="134" t="s">
        <v>4</v>
      </c>
      <c r="C40" s="134" t="s">
        <v>3213</v>
      </c>
      <c r="D40" s="136" t="s">
        <v>3228</v>
      </c>
      <c r="E40" s="145" t="s">
        <v>3136</v>
      </c>
    </row>
    <row r="41" spans="2:5" ht="46.8" hidden="1" x14ac:dyDescent="0.4">
      <c r="B41" s="4" t="s">
        <v>4</v>
      </c>
      <c r="C41" s="4" t="s">
        <v>3213</v>
      </c>
      <c r="D41" s="135" t="s">
        <v>3214</v>
      </c>
      <c r="E41" s="5" t="s">
        <v>3212</v>
      </c>
    </row>
    <row r="42" spans="2:5" hidden="1" x14ac:dyDescent="0.4">
      <c r="B42" s="4" t="s">
        <v>4</v>
      </c>
      <c r="C42" s="4" t="s">
        <v>3229</v>
      </c>
      <c r="D42" s="135" t="s">
        <v>3232</v>
      </c>
      <c r="E42" s="5" t="s">
        <v>3136</v>
      </c>
    </row>
    <row r="43" spans="2:5" ht="78" hidden="1" x14ac:dyDescent="0.4">
      <c r="B43" s="4" t="s">
        <v>4</v>
      </c>
      <c r="C43" s="4" t="s">
        <v>3229</v>
      </c>
      <c r="D43" s="135" t="s">
        <v>3236</v>
      </c>
      <c r="E43" s="5" t="s">
        <v>3136</v>
      </c>
    </row>
    <row r="44" spans="2:5" ht="16.2" hidden="1" customHeight="1" x14ac:dyDescent="0.4">
      <c r="B44" s="134" t="s">
        <v>4</v>
      </c>
      <c r="C44" s="134" t="s">
        <v>3229</v>
      </c>
      <c r="D44" s="136" t="s">
        <v>3161</v>
      </c>
      <c r="E44" s="145"/>
    </row>
    <row r="45" spans="2:5" hidden="1" x14ac:dyDescent="0.4">
      <c r="B45" s="4" t="s">
        <v>4</v>
      </c>
      <c r="C45" s="4" t="s">
        <v>3233</v>
      </c>
      <c r="D45" s="135" t="s">
        <v>3234</v>
      </c>
      <c r="E45" s="5" t="s">
        <v>3136</v>
      </c>
    </row>
    <row r="46" spans="2:5" ht="78" hidden="1" x14ac:dyDescent="0.4">
      <c r="B46" s="4" t="s">
        <v>4</v>
      </c>
      <c r="C46" s="4" t="s">
        <v>3233</v>
      </c>
      <c r="D46" s="135" t="s">
        <v>3237</v>
      </c>
      <c r="E46" s="5" t="s">
        <v>3136</v>
      </c>
    </row>
    <row r="47" spans="2:5" ht="16.2" hidden="1" customHeight="1" x14ac:dyDescent="0.4">
      <c r="B47" s="134" t="s">
        <v>4</v>
      </c>
      <c r="C47" s="134" t="s">
        <v>3230</v>
      </c>
      <c r="D47" s="136" t="s">
        <v>3231</v>
      </c>
      <c r="E47" s="145"/>
    </row>
    <row r="48" spans="2:5" hidden="1" x14ac:dyDescent="0.4">
      <c r="B48" s="4" t="s">
        <v>4</v>
      </c>
      <c r="C48" s="4" t="s">
        <v>3230</v>
      </c>
      <c r="D48" s="135" t="s">
        <v>3235</v>
      </c>
      <c r="E48" s="5" t="s">
        <v>3136</v>
      </c>
    </row>
    <row r="49" spans="2:5" hidden="1" x14ac:dyDescent="0.4">
      <c r="B49" s="4" t="s">
        <v>4</v>
      </c>
      <c r="C49" s="4" t="s">
        <v>3230</v>
      </c>
      <c r="D49" s="135" t="s">
        <v>3238</v>
      </c>
      <c r="E49" s="5" t="s">
        <v>3136</v>
      </c>
    </row>
    <row r="50" spans="2:5" hidden="1" x14ac:dyDescent="0.4">
      <c r="B50" s="4" t="s">
        <v>4</v>
      </c>
      <c r="C50" s="4" t="s">
        <v>3137</v>
      </c>
      <c r="D50" s="135" t="s">
        <v>3138</v>
      </c>
      <c r="E50" s="5"/>
    </row>
    <row r="51" spans="2:5" hidden="1" x14ac:dyDescent="0.4">
      <c r="B51" s="4" t="s">
        <v>4</v>
      </c>
      <c r="C51" s="4" t="s">
        <v>3240</v>
      </c>
      <c r="D51" s="135" t="s">
        <v>3241</v>
      </c>
      <c r="E51" s="5"/>
    </row>
    <row r="52" spans="2:5" hidden="1" x14ac:dyDescent="0.4">
      <c r="B52" s="4" t="s">
        <v>4</v>
      </c>
      <c r="C52" s="4" t="s">
        <v>3242</v>
      </c>
      <c r="D52" s="135" t="s">
        <v>3243</v>
      </c>
      <c r="E52" s="5"/>
    </row>
    <row r="53" spans="2:5" ht="31.2" hidden="1" x14ac:dyDescent="0.4">
      <c r="B53" s="4" t="s">
        <v>4</v>
      </c>
      <c r="C53" s="4" t="s">
        <v>3242</v>
      </c>
      <c r="D53" s="135" t="s">
        <v>3254</v>
      </c>
      <c r="E53" s="5"/>
    </row>
    <row r="54" spans="2:5" hidden="1" x14ac:dyDescent="0.4">
      <c r="B54" s="4" t="s">
        <v>4</v>
      </c>
      <c r="C54" s="4" t="s">
        <v>3242</v>
      </c>
      <c r="D54" s="135" t="s">
        <v>3253</v>
      </c>
      <c r="E54" s="5"/>
    </row>
    <row r="55" spans="2:5" hidden="1" x14ac:dyDescent="0.4">
      <c r="B55" s="4" t="s">
        <v>4</v>
      </c>
      <c r="C55" s="139" t="s">
        <v>3244</v>
      </c>
      <c r="D55" s="142" t="s">
        <v>3245</v>
      </c>
      <c r="E55" s="5"/>
    </row>
    <row r="56" spans="2:5" ht="31.2" hidden="1" x14ac:dyDescent="0.4">
      <c r="B56" s="4" t="s">
        <v>4</v>
      </c>
      <c r="C56" s="4" t="s">
        <v>3244</v>
      </c>
      <c r="D56" s="135" t="s">
        <v>3255</v>
      </c>
      <c r="E56" s="5"/>
    </row>
    <row r="57" spans="2:5" hidden="1" x14ac:dyDescent="0.4">
      <c r="B57" s="4" t="s">
        <v>4</v>
      </c>
      <c r="C57" s="146" t="s">
        <v>3139</v>
      </c>
      <c r="D57" s="147" t="s">
        <v>3252</v>
      </c>
      <c r="E57" s="5"/>
    </row>
    <row r="58" spans="2:5" hidden="1" x14ac:dyDescent="0.4">
      <c r="B58" s="4" t="s">
        <v>4</v>
      </c>
      <c r="C58" s="4" t="s">
        <v>3139</v>
      </c>
      <c r="D58" s="135" t="s">
        <v>3140</v>
      </c>
      <c r="E58" s="5"/>
    </row>
    <row r="59" spans="2:5" hidden="1" x14ac:dyDescent="0.4">
      <c r="B59" s="4" t="s">
        <v>4</v>
      </c>
      <c r="C59" s="4" t="s">
        <v>3139</v>
      </c>
      <c r="D59" s="135" t="s">
        <v>3251</v>
      </c>
      <c r="E59" s="5"/>
    </row>
    <row r="60" spans="2:5" hidden="1" x14ac:dyDescent="0.4">
      <c r="B60" s="4" t="s">
        <v>4</v>
      </c>
      <c r="C60" s="4" t="s">
        <v>3130</v>
      </c>
      <c r="D60" s="135" t="s">
        <v>3202</v>
      </c>
      <c r="E60" s="5"/>
    </row>
    <row r="61" spans="2:5" hidden="1" x14ac:dyDescent="0.4">
      <c r="B61" s="4" t="s">
        <v>4</v>
      </c>
      <c r="C61" s="4" t="s">
        <v>3246</v>
      </c>
      <c r="D61" s="135" t="s">
        <v>3247</v>
      </c>
      <c r="E61" s="5"/>
    </row>
    <row r="62" spans="2:5" hidden="1" x14ac:dyDescent="0.4">
      <c r="B62" s="4" t="s">
        <v>4</v>
      </c>
      <c r="C62" s="4" t="s">
        <v>3199</v>
      </c>
      <c r="D62" s="135" t="s">
        <v>3131</v>
      </c>
      <c r="E62" s="5"/>
    </row>
    <row r="63" spans="2:5" hidden="1" x14ac:dyDescent="0.4">
      <c r="B63" s="4" t="s">
        <v>4</v>
      </c>
      <c r="C63" s="4" t="s">
        <v>3199</v>
      </c>
      <c r="D63" s="135" t="s">
        <v>3248</v>
      </c>
      <c r="E63" s="5"/>
    </row>
    <row r="64" spans="2:5" hidden="1" x14ac:dyDescent="0.4">
      <c r="B64" s="4" t="s">
        <v>4</v>
      </c>
      <c r="C64" s="4" t="s">
        <v>3239</v>
      </c>
      <c r="D64" s="135" t="s">
        <v>3161</v>
      </c>
      <c r="E64" s="5"/>
    </row>
    <row r="65" spans="2:5" hidden="1" x14ac:dyDescent="0.4">
      <c r="B65" s="4" t="s">
        <v>4</v>
      </c>
      <c r="C65" s="148" t="s">
        <v>3249</v>
      </c>
      <c r="D65" s="149" t="s">
        <v>3256</v>
      </c>
      <c r="E65" s="5"/>
    </row>
    <row r="66" spans="2:5" hidden="1" x14ac:dyDescent="0.4">
      <c r="B66" s="4" t="s">
        <v>4</v>
      </c>
      <c r="C66" s="150" t="s">
        <v>3249</v>
      </c>
      <c r="D66" s="151" t="s">
        <v>3250</v>
      </c>
      <c r="E66" s="5"/>
    </row>
    <row r="67" spans="2:5" hidden="1" x14ac:dyDescent="0.4">
      <c r="B67" s="4" t="s">
        <v>4</v>
      </c>
      <c r="C67" s="152" t="s">
        <v>3200</v>
      </c>
      <c r="D67" s="153" t="s">
        <v>3201</v>
      </c>
      <c r="E67" s="5"/>
    </row>
    <row r="68" spans="2:5" hidden="1" x14ac:dyDescent="0.4">
      <c r="B68" s="4" t="s">
        <v>4</v>
      </c>
      <c r="C68" s="146" t="s">
        <v>3141</v>
      </c>
      <c r="D68" s="147" t="s">
        <v>3142</v>
      </c>
      <c r="E68" s="5"/>
    </row>
    <row r="69" spans="2:5" hidden="1" x14ac:dyDescent="0.4">
      <c r="B69" s="4" t="s">
        <v>4</v>
      </c>
      <c r="C69" s="152" t="s">
        <v>3276</v>
      </c>
      <c r="D69" s="153" t="s">
        <v>3277</v>
      </c>
      <c r="E69" s="5"/>
    </row>
    <row r="70" spans="2:5" hidden="1" x14ac:dyDescent="0.4">
      <c r="B70" s="4" t="s">
        <v>4</v>
      </c>
      <c r="C70" s="152" t="s">
        <v>3257</v>
      </c>
      <c r="D70" s="153" t="s">
        <v>3259</v>
      </c>
      <c r="E70" s="5"/>
    </row>
    <row r="71" spans="2:5" hidden="1" x14ac:dyDescent="0.4">
      <c r="B71" s="4" t="s">
        <v>4</v>
      </c>
      <c r="C71" s="152" t="s">
        <v>3257</v>
      </c>
      <c r="D71" s="153" t="s">
        <v>3258</v>
      </c>
      <c r="E71" s="5"/>
    </row>
    <row r="72" spans="2:5" ht="78" hidden="1" x14ac:dyDescent="0.4">
      <c r="B72" s="157" t="s">
        <v>4</v>
      </c>
      <c r="C72" s="157" t="s">
        <v>3284</v>
      </c>
      <c r="D72" s="156" t="s">
        <v>3270</v>
      </c>
      <c r="E72" s="5"/>
    </row>
    <row r="73" spans="2:5" ht="31.2" hidden="1" x14ac:dyDescent="0.4">
      <c r="B73" s="158" t="s">
        <v>4</v>
      </c>
      <c r="C73" s="158" t="s">
        <v>3273</v>
      </c>
      <c r="D73" s="159" t="s">
        <v>3274</v>
      </c>
      <c r="E73" s="5"/>
    </row>
    <row r="74" spans="2:5" hidden="1" x14ac:dyDescent="0.4">
      <c r="B74" s="158" t="s">
        <v>4</v>
      </c>
      <c r="C74" s="158" t="s">
        <v>3271</v>
      </c>
      <c r="D74" s="159" t="s">
        <v>3275</v>
      </c>
      <c r="E74" s="5"/>
    </row>
    <row r="75" spans="2:5" ht="31.2" hidden="1" x14ac:dyDescent="0.4">
      <c r="B75" s="157" t="s">
        <v>4</v>
      </c>
      <c r="C75" s="157" t="s">
        <v>3271</v>
      </c>
      <c r="D75" s="156" t="s">
        <v>3272</v>
      </c>
      <c r="E75" s="5"/>
    </row>
    <row r="76" spans="2:5" x14ac:dyDescent="0.4">
      <c r="B76" s="4" t="s">
        <v>4</v>
      </c>
      <c r="C76" s="4" t="s">
        <v>3195</v>
      </c>
      <c r="D76" s="135" t="s">
        <v>3196</v>
      </c>
      <c r="E76" s="5"/>
    </row>
    <row r="77" spans="2:5" x14ac:dyDescent="0.4">
      <c r="B77" s="209" t="s">
        <v>4</v>
      </c>
      <c r="C77" s="209" t="s">
        <v>3321</v>
      </c>
      <c r="D77" s="210" t="s">
        <v>3383</v>
      </c>
      <c r="E77" s="5"/>
    </row>
    <row r="78" spans="2:5" x14ac:dyDescent="0.4">
      <c r="B78" s="160" t="s">
        <v>4</v>
      </c>
      <c r="C78" s="160" t="s">
        <v>3321</v>
      </c>
      <c r="D78" s="161" t="s">
        <v>3278</v>
      </c>
      <c r="E78" s="5"/>
    </row>
    <row r="79" spans="2:5" x14ac:dyDescent="0.4">
      <c r="B79" s="209" t="s">
        <v>4</v>
      </c>
      <c r="C79" s="209" t="s">
        <v>3321</v>
      </c>
      <c r="D79" s="210" t="s">
        <v>3384</v>
      </c>
      <c r="E79" s="5"/>
    </row>
    <row r="80" spans="2:5" x14ac:dyDescent="0.4">
      <c r="B80" s="181" t="s">
        <v>4</v>
      </c>
      <c r="C80" s="181" t="s">
        <v>3324</v>
      </c>
      <c r="D80" s="182" t="s">
        <v>3325</v>
      </c>
      <c r="E80" s="5"/>
    </row>
    <row r="81" spans="2:5" x14ac:dyDescent="0.4">
      <c r="B81" s="209" t="s">
        <v>4</v>
      </c>
      <c r="C81" s="209" t="s">
        <v>3385</v>
      </c>
      <c r="D81" s="210" t="s">
        <v>3386</v>
      </c>
      <c r="E81" s="5"/>
    </row>
    <row r="82" spans="2:5" x14ac:dyDescent="0.4">
      <c r="B82" s="172" t="s">
        <v>4</v>
      </c>
      <c r="C82" s="172" t="s">
        <v>3322</v>
      </c>
      <c r="D82" s="173" t="s">
        <v>3323</v>
      </c>
      <c r="E82" s="5"/>
    </row>
    <row r="83" spans="2:5" x14ac:dyDescent="0.4">
      <c r="B83" s="209" t="s">
        <v>4</v>
      </c>
      <c r="C83" s="209" t="s">
        <v>3385</v>
      </c>
      <c r="D83" s="210" t="s">
        <v>3387</v>
      </c>
      <c r="E83" s="5"/>
    </row>
    <row r="84" spans="2:5" x14ac:dyDescent="0.4">
      <c r="B84" s="4" t="s">
        <v>4</v>
      </c>
      <c r="C84" s="4" t="s">
        <v>3149</v>
      </c>
      <c r="D84" s="4" t="s">
        <v>3147</v>
      </c>
      <c r="E84" s="5"/>
    </row>
    <row r="85" spans="2:5" ht="16.2" customHeight="1" x14ac:dyDescent="0.4">
      <c r="B85" s="172" t="s">
        <v>4</v>
      </c>
      <c r="C85" s="172" t="s">
        <v>3326</v>
      </c>
      <c r="D85" s="173" t="s">
        <v>3327</v>
      </c>
      <c r="E85" s="5"/>
    </row>
    <row r="86" spans="2:5" x14ac:dyDescent="0.4">
      <c r="B86" s="189" t="s">
        <v>4</v>
      </c>
      <c r="C86" s="189" t="s">
        <v>3381</v>
      </c>
      <c r="D86" s="190" t="s">
        <v>3382</v>
      </c>
      <c r="E86" s="5"/>
    </row>
    <row r="87" spans="2:5" x14ac:dyDescent="0.4">
      <c r="B87" s="4" t="s">
        <v>4</v>
      </c>
      <c r="C87" s="4" t="s">
        <v>3150</v>
      </c>
      <c r="D87" s="4" t="s">
        <v>3148</v>
      </c>
      <c r="E87" s="5"/>
    </row>
    <row r="88" spans="2:5" x14ac:dyDescent="0.4">
      <c r="B88" s="4" t="s">
        <v>4</v>
      </c>
      <c r="C88" s="4" t="s">
        <v>3328</v>
      </c>
      <c r="D88" s="4" t="s">
        <v>3329</v>
      </c>
      <c r="E88" s="5"/>
    </row>
    <row r="89" spans="2:5" x14ac:dyDescent="0.4">
      <c r="B89" s="189" t="s">
        <v>4</v>
      </c>
      <c r="C89" s="189" t="s">
        <v>3151</v>
      </c>
      <c r="D89" s="189" t="s">
        <v>3330</v>
      </c>
      <c r="E89" s="5"/>
    </row>
    <row r="90" spans="2:5" x14ac:dyDescent="0.4">
      <c r="B90" s="4" t="s">
        <v>4</v>
      </c>
      <c r="C90" s="4" t="s">
        <v>3151</v>
      </c>
      <c r="D90" s="4" t="s">
        <v>3154</v>
      </c>
      <c r="E90" s="5"/>
    </row>
    <row r="91" spans="2:5" x14ac:dyDescent="0.4">
      <c r="B91" s="4" t="s">
        <v>4</v>
      </c>
      <c r="C91" s="4" t="s">
        <v>3151</v>
      </c>
      <c r="D91" s="4" t="s">
        <v>3330</v>
      </c>
      <c r="E91" s="5"/>
    </row>
    <row r="92" spans="2:5" x14ac:dyDescent="0.4">
      <c r="B92" s="4" t="s">
        <v>4</v>
      </c>
      <c r="C92" s="4" t="s">
        <v>3388</v>
      </c>
      <c r="D92" s="4" t="s">
        <v>3389</v>
      </c>
      <c r="E92" s="5"/>
    </row>
    <row r="93" spans="2:5" x14ac:dyDescent="0.4">
      <c r="B93" s="189" t="s">
        <v>4</v>
      </c>
      <c r="C93" s="189" t="s">
        <v>3331</v>
      </c>
      <c r="D93" s="189" t="s">
        <v>3332</v>
      </c>
      <c r="E93" s="5"/>
    </row>
    <row r="94" spans="2:5" x14ac:dyDescent="0.4">
      <c r="B94" s="4" t="s">
        <v>4</v>
      </c>
      <c r="C94" s="4" t="s">
        <v>3152</v>
      </c>
      <c r="D94" s="4" t="s">
        <v>3153</v>
      </c>
      <c r="E94" s="5"/>
    </row>
    <row r="95" spans="2:5" x14ac:dyDescent="0.4">
      <c r="B95" s="134" t="s">
        <v>4</v>
      </c>
      <c r="C95" s="134" t="s">
        <v>3390</v>
      </c>
      <c r="D95" s="134" t="s">
        <v>3259</v>
      </c>
      <c r="E95" s="5"/>
    </row>
    <row r="96" spans="2:5" x14ac:dyDescent="0.4">
      <c r="B96" s="4" t="s">
        <v>4</v>
      </c>
      <c r="C96" s="4" t="s">
        <v>3264</v>
      </c>
      <c r="D96" s="135" t="s">
        <v>3265</v>
      </c>
      <c r="E96" s="5"/>
    </row>
    <row r="97" spans="2:5" x14ac:dyDescent="0.4">
      <c r="B97" s="4" t="s">
        <v>4</v>
      </c>
      <c r="C97" s="4" t="s">
        <v>3197</v>
      </c>
      <c r="D97" s="135" t="s">
        <v>3198</v>
      </c>
      <c r="E97" s="5"/>
    </row>
    <row r="98" spans="2:5" x14ac:dyDescent="0.4">
      <c r="B98" s="4" t="s">
        <v>4</v>
      </c>
      <c r="C98" s="4" t="s">
        <v>3266</v>
      </c>
      <c r="D98" s="155" t="s">
        <v>3267</v>
      </c>
      <c r="E98" s="5"/>
    </row>
    <row r="99" spans="2:5" ht="17.399999999999999" x14ac:dyDescent="0.4">
      <c r="B99" s="4" t="s">
        <v>4</v>
      </c>
      <c r="C99" s="4" t="s">
        <v>3132</v>
      </c>
      <c r="D99" s="4" t="s">
        <v>3133</v>
      </c>
      <c r="E99" s="8" t="s">
        <v>3192</v>
      </c>
    </row>
    <row r="100" spans="2:5" x14ac:dyDescent="0.4">
      <c r="B100" s="4" t="s">
        <v>4</v>
      </c>
      <c r="C100" s="4" t="s">
        <v>3185</v>
      </c>
      <c r="D100" s="4" t="s">
        <v>3184</v>
      </c>
      <c r="E100" s="6"/>
    </row>
    <row r="101" spans="2:5" x14ac:dyDescent="0.4">
      <c r="B101" s="3" t="s">
        <v>4</v>
      </c>
      <c r="C101" s="3" t="s">
        <v>3260</v>
      </c>
      <c r="D101" s="154" t="s">
        <v>3261</v>
      </c>
      <c r="E101" s="6"/>
    </row>
    <row r="102" spans="2:5" ht="78" x14ac:dyDescent="0.4">
      <c r="B102" s="3" t="s">
        <v>4</v>
      </c>
      <c r="C102" s="3" t="s">
        <v>3268</v>
      </c>
      <c r="D102" s="155" t="s">
        <v>3269</v>
      </c>
      <c r="E102" s="6"/>
    </row>
    <row r="103" spans="2:5" ht="17.399999999999999" x14ac:dyDescent="0.4">
      <c r="B103" s="4" t="s">
        <v>4</v>
      </c>
      <c r="C103" s="4" t="s">
        <v>3186</v>
      </c>
      <c r="D103" s="4" t="s">
        <v>3187</v>
      </c>
      <c r="E103" s="8" t="s">
        <v>3188</v>
      </c>
    </row>
    <row r="104" spans="2:5" x14ac:dyDescent="0.4">
      <c r="B104" s="4" t="s">
        <v>3122</v>
      </c>
      <c r="C104" s="133" t="s">
        <v>3121</v>
      </c>
      <c r="D104" s="133" t="s">
        <v>3114</v>
      </c>
      <c r="E104" s="5"/>
    </row>
    <row r="105" spans="2:5" ht="31.2" x14ac:dyDescent="0.4">
      <c r="B105" s="3" t="s">
        <v>4</v>
      </c>
      <c r="C105" s="4" t="s">
        <v>3262</v>
      </c>
      <c r="D105" s="6" t="s">
        <v>3263</v>
      </c>
      <c r="E105" s="5"/>
    </row>
    <row r="106" spans="2:5" x14ac:dyDescent="0.4">
      <c r="B106" s="4" t="s">
        <v>4</v>
      </c>
      <c r="C106" s="4" t="s">
        <v>5</v>
      </c>
      <c r="D106" s="4" t="s">
        <v>6</v>
      </c>
      <c r="E106" s="6" t="s">
        <v>7</v>
      </c>
    </row>
    <row r="107" spans="2:5" x14ac:dyDescent="0.4">
      <c r="B107" s="4" t="s">
        <v>4</v>
      </c>
      <c r="C107" s="127"/>
      <c r="D107" s="4" t="s">
        <v>12</v>
      </c>
      <c r="E107" s="5" t="s">
        <v>13</v>
      </c>
    </row>
    <row r="108" spans="2:5" x14ac:dyDescent="0.4">
      <c r="B108" s="4" t="s">
        <v>8</v>
      </c>
      <c r="C108" s="4" t="s">
        <v>5</v>
      </c>
      <c r="D108" s="4" t="s">
        <v>10</v>
      </c>
      <c r="E108" s="5" t="s">
        <v>11</v>
      </c>
    </row>
    <row r="146" spans="3:3" x14ac:dyDescent="0.4">
      <c r="C146" s="2" t="s">
        <v>3143</v>
      </c>
    </row>
    <row r="147" spans="3:3" x14ac:dyDescent="0.4">
      <c r="C147" s="2" t="s">
        <v>3144</v>
      </c>
    </row>
    <row r="148" spans="3:3" x14ac:dyDescent="0.4">
      <c r="C148" s="2" t="s">
        <v>3145</v>
      </c>
    </row>
    <row r="149" spans="3:3" x14ac:dyDescent="0.4">
      <c r="C149" s="2" t="s">
        <v>3146</v>
      </c>
    </row>
  </sheetData>
  <phoneticPr fontId="3" type="noConversion"/>
  <hyperlinks>
    <hyperlink ref="E103" r:id="rId1" location="section1" xr:uid="{038FA816-2C26-40B4-AF72-F7EF497FDA6D}"/>
    <hyperlink ref="E27" r:id="rId2" xr:uid="{F77730B5-84B1-4A98-BA33-DADF3989DA4B}"/>
    <hyperlink ref="E99" r:id="rId3" xr:uid="{B67E2085-F98F-445E-9E08-8D537207013F}"/>
    <hyperlink ref="E25" r:id="rId4" xr:uid="{C0EEDEEA-00F1-4807-9280-B2DE158E8364}"/>
  </hyperlinks>
  <pageMargins left="0.69986110925674438" right="0.69986110925674438" top="0.75" bottom="0.75" header="0.30000001192092896" footer="0.30000001192092896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2147-E623-4117-BA5C-CD0A22E0D36C}">
  <dimension ref="B3:K39"/>
  <sheetViews>
    <sheetView workbookViewId="0">
      <selection activeCell="C27" sqref="C27"/>
    </sheetView>
  </sheetViews>
  <sheetFormatPr defaultRowHeight="17.399999999999999" x14ac:dyDescent="0.4"/>
  <cols>
    <col min="2" max="2" width="15.8984375" customWidth="1"/>
    <col min="3" max="3" width="20.5" customWidth="1"/>
    <col min="4" max="4" width="13.5" customWidth="1"/>
    <col min="5" max="5" width="16" customWidth="1"/>
    <col min="6" max="6" width="11.09765625" bestFit="1" customWidth="1"/>
    <col min="8" max="8" width="23.19921875" customWidth="1"/>
    <col min="9" max="9" width="9.69921875" customWidth="1"/>
    <col min="10" max="10" width="15.09765625" customWidth="1"/>
    <col min="11" max="11" width="21.5" customWidth="1"/>
  </cols>
  <sheetData>
    <row r="3" spans="2:11" x14ac:dyDescent="0.4">
      <c r="B3" t="s">
        <v>3312</v>
      </c>
      <c r="H3" t="s">
        <v>3311</v>
      </c>
    </row>
    <row r="4" spans="2:11" x14ac:dyDescent="0.4">
      <c r="B4" s="163" t="s">
        <v>19</v>
      </c>
      <c r="C4" s="163" t="s">
        <v>3289</v>
      </c>
      <c r="D4" s="163" t="s">
        <v>3290</v>
      </c>
      <c r="E4" s="163" t="s">
        <v>3291</v>
      </c>
      <c r="F4" s="166" t="s">
        <v>3294</v>
      </c>
      <c r="H4" s="162" t="s">
        <v>3310</v>
      </c>
      <c r="I4" s="163" t="s">
        <v>3290</v>
      </c>
      <c r="J4" s="163" t="s">
        <v>3291</v>
      </c>
      <c r="K4" s="162" t="s">
        <v>3299</v>
      </c>
    </row>
    <row r="5" spans="2:11" x14ac:dyDescent="0.4">
      <c r="B5" s="171" t="s">
        <v>3292</v>
      </c>
      <c r="C5" s="167" t="s">
        <v>3285</v>
      </c>
      <c r="D5" s="168">
        <v>46132</v>
      </c>
      <c r="E5" s="168">
        <v>46133</v>
      </c>
      <c r="F5" s="169">
        <v>46148</v>
      </c>
      <c r="H5" s="171" t="s">
        <v>3298</v>
      </c>
      <c r="I5" s="164">
        <v>46118</v>
      </c>
      <c r="J5" s="164">
        <v>46119</v>
      </c>
      <c r="K5" s="165" t="s">
        <v>3300</v>
      </c>
    </row>
    <row r="6" spans="2:11" x14ac:dyDescent="0.4">
      <c r="B6" s="171" t="s">
        <v>3293</v>
      </c>
      <c r="C6" s="167" t="s">
        <v>3285</v>
      </c>
      <c r="D6" s="168">
        <v>46132</v>
      </c>
      <c r="E6" s="168">
        <v>46133</v>
      </c>
      <c r="F6" s="169">
        <v>46148</v>
      </c>
      <c r="H6" s="171" t="s">
        <v>3296</v>
      </c>
      <c r="I6" s="164">
        <v>46122</v>
      </c>
      <c r="J6" s="164">
        <v>46125</v>
      </c>
      <c r="K6" s="165" t="s">
        <v>3301</v>
      </c>
    </row>
    <row r="7" spans="2:11" x14ac:dyDescent="0.4">
      <c r="B7" s="171" t="s">
        <v>3286</v>
      </c>
      <c r="C7" s="170" t="s">
        <v>3285</v>
      </c>
      <c r="D7" s="164">
        <v>46132</v>
      </c>
      <c r="E7" s="164">
        <v>46133</v>
      </c>
      <c r="F7" s="169">
        <v>46148</v>
      </c>
      <c r="H7" s="171" t="s">
        <v>3297</v>
      </c>
      <c r="I7" s="164">
        <v>46122</v>
      </c>
      <c r="J7" s="164">
        <v>46125</v>
      </c>
      <c r="K7" s="165" t="s">
        <v>3301</v>
      </c>
    </row>
    <row r="8" spans="2:11" x14ac:dyDescent="0.4">
      <c r="B8" s="171" t="s">
        <v>3287</v>
      </c>
      <c r="C8" s="167" t="s">
        <v>3285</v>
      </c>
      <c r="D8" s="168">
        <v>46132</v>
      </c>
      <c r="E8" s="168">
        <v>46133</v>
      </c>
      <c r="F8" s="169">
        <v>46148</v>
      </c>
      <c r="H8" s="171" t="s">
        <v>3303</v>
      </c>
      <c r="I8" s="164">
        <v>46127</v>
      </c>
      <c r="J8" s="164">
        <v>46128</v>
      </c>
      <c r="K8" s="165" t="s">
        <v>3304</v>
      </c>
    </row>
    <row r="9" spans="2:11" x14ac:dyDescent="0.4">
      <c r="B9" s="171" t="s">
        <v>3288</v>
      </c>
      <c r="C9" s="170" t="s">
        <v>3285</v>
      </c>
      <c r="D9" s="164">
        <v>46132</v>
      </c>
      <c r="E9" s="164">
        <v>46133</v>
      </c>
      <c r="F9" s="169">
        <v>46148</v>
      </c>
      <c r="H9" s="171" t="s">
        <v>3295</v>
      </c>
      <c r="I9" s="164">
        <v>46125</v>
      </c>
      <c r="J9" s="164">
        <v>46126</v>
      </c>
      <c r="K9" s="165" t="s">
        <v>3302</v>
      </c>
    </row>
    <row r="10" spans="2:11" x14ac:dyDescent="0.4">
      <c r="B10" s="171" t="s">
        <v>3313</v>
      </c>
      <c r="C10" s="174" t="s">
        <v>3285</v>
      </c>
      <c r="D10" s="175">
        <v>46134</v>
      </c>
      <c r="E10" s="175">
        <v>46135</v>
      </c>
      <c r="F10" s="176">
        <v>46150</v>
      </c>
      <c r="H10" s="171" t="s">
        <v>3305</v>
      </c>
      <c r="I10" s="164">
        <v>46128</v>
      </c>
      <c r="J10" s="164">
        <v>46129</v>
      </c>
      <c r="K10" s="165" t="s">
        <v>3308</v>
      </c>
    </row>
    <row r="11" spans="2:11" x14ac:dyDescent="0.4">
      <c r="B11" s="171" t="s">
        <v>3333</v>
      </c>
      <c r="C11" s="170" t="s">
        <v>3285</v>
      </c>
      <c r="D11" s="164">
        <v>46141</v>
      </c>
      <c r="E11" s="164">
        <v>46142</v>
      </c>
      <c r="F11" s="169">
        <v>46157</v>
      </c>
      <c r="H11" s="171" t="s">
        <v>3306</v>
      </c>
      <c r="I11" s="164">
        <v>46128</v>
      </c>
      <c r="J11" s="164">
        <v>46129</v>
      </c>
      <c r="K11" s="165" t="s">
        <v>3308</v>
      </c>
    </row>
    <row r="12" spans="2:11" x14ac:dyDescent="0.4">
      <c r="B12" s="171" t="s">
        <v>3334</v>
      </c>
      <c r="C12" s="167" t="s">
        <v>3285</v>
      </c>
      <c r="D12" s="168">
        <v>46141</v>
      </c>
      <c r="E12" s="168">
        <v>46142</v>
      </c>
      <c r="F12" s="169">
        <v>46157</v>
      </c>
      <c r="H12" s="171" t="s">
        <v>3307</v>
      </c>
      <c r="I12" s="164">
        <v>46129</v>
      </c>
      <c r="J12" s="164">
        <v>46132</v>
      </c>
      <c r="K12" s="165" t="s">
        <v>3309</v>
      </c>
    </row>
    <row r="13" spans="2:11" x14ac:dyDescent="0.4">
      <c r="B13" s="171" t="s">
        <v>3335</v>
      </c>
      <c r="C13" s="170" t="s">
        <v>3336</v>
      </c>
      <c r="D13" s="164">
        <v>46141</v>
      </c>
      <c r="E13" s="164">
        <v>46142</v>
      </c>
      <c r="F13" s="169">
        <v>46157</v>
      </c>
      <c r="H13" s="171" t="s">
        <v>3317</v>
      </c>
      <c r="I13" s="164">
        <v>46133</v>
      </c>
      <c r="J13" s="164">
        <v>46134</v>
      </c>
      <c r="K13" s="165" t="s">
        <v>3320</v>
      </c>
    </row>
    <row r="14" spans="2:11" x14ac:dyDescent="0.4">
      <c r="B14" s="171" t="s">
        <v>3337</v>
      </c>
      <c r="C14" s="167" t="s">
        <v>3338</v>
      </c>
      <c r="D14" s="168">
        <v>46141</v>
      </c>
      <c r="E14" s="168">
        <v>46142</v>
      </c>
      <c r="F14" s="169"/>
      <c r="H14" s="171" t="s">
        <v>3318</v>
      </c>
      <c r="I14" s="164">
        <v>46133</v>
      </c>
      <c r="J14" s="164">
        <v>46134</v>
      </c>
      <c r="K14" s="165" t="s">
        <v>3320</v>
      </c>
    </row>
    <row r="15" spans="2:11" x14ac:dyDescent="0.4">
      <c r="B15" s="171" t="s">
        <v>3339</v>
      </c>
      <c r="C15" s="170" t="s">
        <v>3285</v>
      </c>
      <c r="D15" s="164">
        <v>46141</v>
      </c>
      <c r="E15" s="164">
        <v>46142</v>
      </c>
      <c r="F15" s="169">
        <v>46157</v>
      </c>
      <c r="H15" s="171" t="s">
        <v>3314</v>
      </c>
      <c r="I15" s="164">
        <v>46134</v>
      </c>
      <c r="J15" s="164">
        <v>46135</v>
      </c>
      <c r="K15" s="165" t="s">
        <v>3319</v>
      </c>
    </row>
    <row r="16" spans="2:11" x14ac:dyDescent="0.4">
      <c r="B16" s="171" t="s">
        <v>3340</v>
      </c>
      <c r="C16" s="167" t="s">
        <v>3338</v>
      </c>
      <c r="D16" s="168">
        <v>46141</v>
      </c>
      <c r="E16" s="168">
        <v>46142</v>
      </c>
      <c r="F16" s="169"/>
      <c r="H16" s="171" t="s">
        <v>3315</v>
      </c>
      <c r="I16" s="164">
        <v>46134</v>
      </c>
      <c r="J16" s="164">
        <v>46135</v>
      </c>
      <c r="K16" s="165" t="s">
        <v>3319</v>
      </c>
    </row>
    <row r="17" spans="2:11" x14ac:dyDescent="0.4">
      <c r="B17" s="171" t="s">
        <v>3341</v>
      </c>
      <c r="C17" s="170" t="s">
        <v>3338</v>
      </c>
      <c r="D17" s="164">
        <v>46141</v>
      </c>
      <c r="E17" s="164">
        <v>46142</v>
      </c>
      <c r="F17" s="169"/>
      <c r="H17" s="171" t="s">
        <v>3316</v>
      </c>
      <c r="I17" s="164">
        <v>46134</v>
      </c>
      <c r="J17" s="164">
        <v>46135</v>
      </c>
      <c r="K17" s="165" t="s">
        <v>3319</v>
      </c>
    </row>
    <row r="18" spans="2:11" x14ac:dyDescent="0.4">
      <c r="B18" s="171" t="s">
        <v>3342</v>
      </c>
      <c r="C18" s="167" t="s">
        <v>3338</v>
      </c>
      <c r="D18" s="168">
        <v>46141</v>
      </c>
      <c r="E18" s="168">
        <v>46142</v>
      </c>
      <c r="F18" s="169"/>
      <c r="H18" s="171" t="s">
        <v>3287</v>
      </c>
      <c r="I18" s="164">
        <v>46134</v>
      </c>
      <c r="J18" s="164">
        <v>46135</v>
      </c>
      <c r="K18" s="165" t="s">
        <v>3319</v>
      </c>
    </row>
    <row r="19" spans="2:11" x14ac:dyDescent="0.4">
      <c r="B19" s="171" t="s">
        <v>3343</v>
      </c>
      <c r="C19" s="170" t="s">
        <v>3338</v>
      </c>
      <c r="D19" s="164">
        <v>46141</v>
      </c>
      <c r="E19" s="164">
        <v>46142</v>
      </c>
      <c r="F19" s="169"/>
      <c r="H19" s="171" t="s">
        <v>3288</v>
      </c>
      <c r="I19" s="164">
        <v>46134</v>
      </c>
      <c r="J19" s="164">
        <v>46135</v>
      </c>
      <c r="K19" s="165" t="s">
        <v>3319</v>
      </c>
    </row>
    <row r="20" spans="2:11" x14ac:dyDescent="0.4">
      <c r="B20" s="171" t="s">
        <v>3344</v>
      </c>
      <c r="C20" s="167" t="s">
        <v>3336</v>
      </c>
      <c r="D20" s="168">
        <v>46141</v>
      </c>
      <c r="E20" s="168">
        <v>46142</v>
      </c>
      <c r="F20" s="169">
        <v>46157</v>
      </c>
      <c r="H20" s="171" t="s">
        <v>3313</v>
      </c>
      <c r="I20" s="164">
        <v>46135</v>
      </c>
      <c r="J20" s="164">
        <v>46136</v>
      </c>
      <c r="K20" s="165" t="s">
        <v>3353</v>
      </c>
    </row>
    <row r="21" spans="2:11" x14ac:dyDescent="0.4">
      <c r="B21" s="171" t="s">
        <v>3345</v>
      </c>
      <c r="C21" s="170" t="s">
        <v>3338</v>
      </c>
      <c r="D21" s="164">
        <v>46141</v>
      </c>
      <c r="E21" s="164">
        <v>46142</v>
      </c>
      <c r="F21" s="169"/>
      <c r="H21" s="171" t="s">
        <v>3349</v>
      </c>
      <c r="I21" s="164">
        <v>46135</v>
      </c>
      <c r="J21" s="164">
        <v>46136</v>
      </c>
      <c r="K21" s="165" t="s">
        <v>3353</v>
      </c>
    </row>
    <row r="22" spans="2:11" x14ac:dyDescent="0.4">
      <c r="B22" s="171" t="s">
        <v>3346</v>
      </c>
      <c r="C22" s="167" t="s">
        <v>3336</v>
      </c>
      <c r="D22" s="168">
        <v>46141</v>
      </c>
      <c r="E22" s="168">
        <v>46142</v>
      </c>
      <c r="F22" s="169">
        <v>46157</v>
      </c>
      <c r="H22" s="171" t="s">
        <v>3350</v>
      </c>
      <c r="I22" s="164">
        <v>46136</v>
      </c>
      <c r="J22" s="164">
        <v>46139</v>
      </c>
      <c r="K22" s="165" t="s">
        <v>3354</v>
      </c>
    </row>
    <row r="23" spans="2:11" x14ac:dyDescent="0.4">
      <c r="B23" s="171" t="s">
        <v>3347</v>
      </c>
      <c r="C23" s="170" t="s">
        <v>3336</v>
      </c>
      <c r="D23" s="164">
        <v>46141</v>
      </c>
      <c r="E23" s="164">
        <v>46142</v>
      </c>
      <c r="F23" s="169">
        <v>46157</v>
      </c>
      <c r="H23" s="171" t="s">
        <v>3351</v>
      </c>
      <c r="I23" s="164">
        <v>46140</v>
      </c>
      <c r="J23" s="164">
        <v>46141</v>
      </c>
      <c r="K23" s="165" t="s">
        <v>3355</v>
      </c>
    </row>
    <row r="24" spans="2:11" x14ac:dyDescent="0.4">
      <c r="B24" s="171" t="s">
        <v>3348</v>
      </c>
      <c r="C24" s="167" t="s">
        <v>3336</v>
      </c>
      <c r="D24" s="168">
        <v>46141</v>
      </c>
      <c r="E24" s="168">
        <v>46142</v>
      </c>
      <c r="F24" s="169">
        <v>46157</v>
      </c>
      <c r="H24" s="171" t="s">
        <v>3352</v>
      </c>
      <c r="I24" s="164">
        <v>46141</v>
      </c>
      <c r="J24" s="164">
        <v>46142</v>
      </c>
      <c r="K24" s="165" t="s">
        <v>3356</v>
      </c>
    </row>
    <row r="25" spans="2:11" ht="18" thickBot="1" x14ac:dyDescent="0.45">
      <c r="B25" s="171" t="s">
        <v>3303</v>
      </c>
      <c r="C25" s="170" t="s">
        <v>3336</v>
      </c>
      <c r="D25" s="164">
        <v>46141</v>
      </c>
      <c r="E25" s="164">
        <v>46142</v>
      </c>
      <c r="F25" s="169">
        <v>46157</v>
      </c>
      <c r="H25" s="171" t="s">
        <v>3357</v>
      </c>
      <c r="I25" s="164">
        <v>46149</v>
      </c>
      <c r="J25" s="164">
        <v>46150</v>
      </c>
      <c r="K25" s="177" t="s">
        <v>1077</v>
      </c>
    </row>
    <row r="26" spans="2:11" ht="18" thickBot="1" x14ac:dyDescent="0.45">
      <c r="H26" s="171" t="s">
        <v>3358</v>
      </c>
      <c r="I26" s="164">
        <v>46149</v>
      </c>
      <c r="J26" s="164">
        <v>46150</v>
      </c>
      <c r="K26" s="178" t="s">
        <v>1077</v>
      </c>
    </row>
    <row r="27" spans="2:11" ht="18" thickBot="1" x14ac:dyDescent="0.45">
      <c r="H27" s="171" t="s">
        <v>3339</v>
      </c>
      <c r="I27" s="164">
        <v>46149</v>
      </c>
      <c r="J27" s="164">
        <v>46150</v>
      </c>
      <c r="K27" s="179" t="s">
        <v>1077</v>
      </c>
    </row>
    <row r="28" spans="2:11" ht="18" thickBot="1" x14ac:dyDescent="0.45">
      <c r="H28" s="171" t="s">
        <v>3333</v>
      </c>
      <c r="I28" s="164">
        <v>46148</v>
      </c>
      <c r="J28" s="164">
        <v>46149</v>
      </c>
      <c r="K28" s="178" t="s">
        <v>1077</v>
      </c>
    </row>
    <row r="29" spans="2:11" ht="18" thickBot="1" x14ac:dyDescent="0.45">
      <c r="H29" s="171" t="s">
        <v>3359</v>
      </c>
      <c r="I29" s="164">
        <v>46148</v>
      </c>
      <c r="J29" s="164">
        <v>46149</v>
      </c>
      <c r="K29" s="179" t="s">
        <v>1077</v>
      </c>
    </row>
    <row r="30" spans="2:11" ht="18" thickBot="1" x14ac:dyDescent="0.45">
      <c r="H30" s="171" t="s">
        <v>3345</v>
      </c>
      <c r="I30" s="164">
        <v>46148</v>
      </c>
      <c r="J30" s="164">
        <v>46149</v>
      </c>
      <c r="K30" s="178" t="s">
        <v>1077</v>
      </c>
    </row>
    <row r="31" spans="2:11" ht="18" thickBot="1" x14ac:dyDescent="0.45">
      <c r="H31" s="171" t="s">
        <v>3360</v>
      </c>
      <c r="I31" s="164">
        <v>46148</v>
      </c>
      <c r="J31" s="164">
        <v>46149</v>
      </c>
      <c r="K31" s="179" t="s">
        <v>1077</v>
      </c>
    </row>
    <row r="32" spans="2:11" ht="18" thickBot="1" x14ac:dyDescent="0.45">
      <c r="H32" s="171" t="s">
        <v>3361</v>
      </c>
      <c r="I32" s="164">
        <v>46148</v>
      </c>
      <c r="J32" s="164">
        <v>46149</v>
      </c>
      <c r="K32" s="178" t="s">
        <v>1077</v>
      </c>
    </row>
    <row r="33" spans="8:11" ht="18" thickBot="1" x14ac:dyDescent="0.45">
      <c r="H33" s="171" t="s">
        <v>3362</v>
      </c>
      <c r="I33" s="164">
        <v>46148</v>
      </c>
      <c r="J33" s="164">
        <v>46149</v>
      </c>
      <c r="K33" s="179" t="s">
        <v>1077</v>
      </c>
    </row>
    <row r="34" spans="8:11" ht="18" thickBot="1" x14ac:dyDescent="0.45">
      <c r="H34" s="171" t="s">
        <v>3363</v>
      </c>
      <c r="I34" s="164">
        <v>46146</v>
      </c>
      <c r="J34" s="164">
        <v>46148</v>
      </c>
      <c r="K34" s="178" t="s">
        <v>1077</v>
      </c>
    </row>
    <row r="35" spans="8:11" ht="18" thickBot="1" x14ac:dyDescent="0.45">
      <c r="H35" s="171" t="s">
        <v>3364</v>
      </c>
      <c r="I35" s="164">
        <v>46146</v>
      </c>
      <c r="J35" s="164">
        <v>46148</v>
      </c>
      <c r="K35" s="179" t="s">
        <v>1077</v>
      </c>
    </row>
    <row r="36" spans="8:11" ht="18" thickBot="1" x14ac:dyDescent="0.45">
      <c r="H36" s="171" t="s">
        <v>3334</v>
      </c>
      <c r="I36" s="164">
        <v>46142</v>
      </c>
      <c r="J36" s="164">
        <v>46146</v>
      </c>
      <c r="K36" s="178" t="s">
        <v>1077</v>
      </c>
    </row>
    <row r="37" spans="8:11" ht="18" thickBot="1" x14ac:dyDescent="0.45">
      <c r="H37" s="171" t="s">
        <v>3365</v>
      </c>
      <c r="I37" s="164">
        <v>46142</v>
      </c>
      <c r="J37" s="164">
        <v>46146</v>
      </c>
      <c r="K37" s="179" t="s">
        <v>1077</v>
      </c>
    </row>
    <row r="38" spans="8:11" x14ac:dyDescent="0.4">
      <c r="H38" s="171" t="s">
        <v>3342</v>
      </c>
      <c r="I38" s="164">
        <v>46142</v>
      </c>
      <c r="J38" s="164">
        <v>46146</v>
      </c>
      <c r="K38" s="178" t="s">
        <v>1077</v>
      </c>
    </row>
    <row r="39" spans="8:11" ht="18" thickBot="1" x14ac:dyDescent="0.45">
      <c r="H39" s="171" t="s">
        <v>3366</v>
      </c>
      <c r="I39" s="164">
        <v>46142</v>
      </c>
      <c r="J39" s="164">
        <v>46146</v>
      </c>
      <c r="K39" s="180"/>
    </row>
  </sheetData>
  <sortState xmlns:xlrd2="http://schemas.microsoft.com/office/spreadsheetml/2017/richdata2" ref="H5:K24">
    <sortCondition ref="K5:K24"/>
  </sortState>
  <phoneticPr fontId="3" type="noConversion"/>
  <hyperlinks>
    <hyperlink ref="B7" r:id="rId1" location="companysum" tooltip="큐리언트" display="https://kind.krx.co.kr/investwarn/investattentwarnrisky.do?method=investattentwarnriskyMain - companysum" xr:uid="{F6BCC592-CA3B-491D-B128-40EA3020C89C}"/>
    <hyperlink ref="B8" r:id="rId2" location="companysum" tooltip="테스" display="https://kind.krx.co.kr/investwarn/investattentwarnrisky.do?method=investattentwarnriskyMain - companysum" xr:uid="{71F35514-D0F6-4A60-836D-CFB8190E0477}"/>
    <hyperlink ref="B9" r:id="rId3" location="companysum" tooltip="퍼스텍" display="https://kind.krx.co.kr/investwarn/investattentwarnrisky.do?method=investattentwarnriskyMain - companysum" xr:uid="{35AA52D6-578E-4DE9-9A0D-C260C28D705E}"/>
    <hyperlink ref="B4" r:id="rId4" tooltip="종목명" display="https://kind.krx.co.kr/investwarn/investattentwarnrisky.do?method=investattentwarnriskyMain" xr:uid="{7D211F2C-170A-4CDB-A15D-9EA70842CB65}"/>
    <hyperlink ref="E4" r:id="rId5" tooltip="지정일" display="https://kind.krx.co.kr/investwarn/investattentwarnrisky.do?method=investattentwarnriskyMain" xr:uid="{17F2E4FA-801B-4376-83B7-2D97F511BA18}"/>
    <hyperlink ref="B5" r:id="rId6" location="companysum" tooltip="미코" display="https://kind.krx.co.kr/investwarn/investattentwarnrisky.do?method=investattentwarnriskyMain - companysum" xr:uid="{077598AC-49AF-4D45-BEEF-02AD78CDB5E9}"/>
    <hyperlink ref="B6" r:id="rId7" location="companysum" tooltip="에이프릴바이오" display="https://kind.krx.co.kr/investwarn/investattentwarnrisky.do?method=investattentwarnriskyMain - companysum" xr:uid="{DF34C831-020F-4ED7-8E1D-D2845F20E155}"/>
    <hyperlink ref="J4" r:id="rId8" tooltip="지정일" display="https://kind.krx.co.kr/investwarn/investattentwarnrisky.do?method=investattentwarnriskyMain" xr:uid="{70D5D4E7-3BC5-4589-AE80-4A06CC8A25E8}"/>
    <hyperlink ref="H9" r:id="rId9" location="companysum" tooltip="머큐리" display="https://kind.krx.co.kr/investwarn/investattentwarnrisky.do?method=investattentwarnriskyMain - companysum" xr:uid="{0AAC6E2C-575D-4EAE-9626-E6393B5158C3}"/>
    <hyperlink ref="H6" r:id="rId10" location="companysum" tooltip="대한광통신" display="https://kind.krx.co.kr/investwarn/investattentwarnrisky.do?method=investattentwarnriskyMain - companysum" xr:uid="{7BCFD6AC-2205-4056-9874-763E1E2DC9E0}"/>
    <hyperlink ref="H7" r:id="rId11" location="companysum" tooltip="피노" display="https://kind.krx.co.kr/investwarn/investattentwarnrisky.do?method=investattentwarnriskyMain - companysum" xr:uid="{2E835AD1-7C83-491A-84F6-248022C719D1}"/>
    <hyperlink ref="H5" r:id="rId12" location="companysum" tooltip="오이솔루션" display="https://kind.krx.co.kr/investwarn/investattentwarnrisky.do?method=investattentwarnriskyMain - companysum" xr:uid="{59B8BBB2-3029-47ED-A02C-363644DBE4A0}"/>
    <hyperlink ref="H8" r:id="rId13" location="companysum" tooltip="파두" display="https://kind.krx.co.kr/investwarn/investattentwarnrisky.do?method=investattentwarnriskyMain - companysum" xr:uid="{352CC2FB-ABC7-4E1E-8288-684A31C086B4}"/>
    <hyperlink ref="H10" r:id="rId14" location="companysum" tooltip="티엘비" display="https://kind.krx.co.kr/investwarn/investattentwarnrisky.do?method=investattentwarnriskyMain - companysum" xr:uid="{85683D00-22E2-4BEF-B29E-66988195A865}"/>
    <hyperlink ref="H11" r:id="rId15" location="companysum" tooltip="피에스케이" display="https://kind.krx.co.kr/investwarn/investattentwarnrisky.do?method=investattentwarnriskyMain - companysum" xr:uid="{01402EB8-12D6-4A64-B276-6B5B8477BA54}"/>
    <hyperlink ref="H12" r:id="rId16" location="companysum" tooltip="오킨스전자" display="https://kind.krx.co.kr/investwarn/investattentwarnrisky.do?method=investattentwarnriskyMain - companysum" xr:uid="{D03066D7-5EDE-445F-8314-8277A4BDD0DB}"/>
    <hyperlink ref="B10" r:id="rId17" location="companysum" tooltip="미래에셋벤처투자" display="https://kind.krx.co.kr/investwarn/investattentwarnrisky.do?method=investattentwarnriskyMain - companysum" xr:uid="{8CA6DB08-91A8-4283-8CB8-7E97BC1E6593}"/>
    <hyperlink ref="B11" r:id="rId18" location="companysum" tooltip="LS에코에너지" display="https://kind.krx.co.kr/investwarn/investattentwarnrisky.do?method=investattentwarnriskyMain - companysum" xr:uid="{8F236C9E-BE5C-436F-B7DA-046D071FD05C}"/>
    <hyperlink ref="B12" r:id="rId19" location="companysum" tooltip="대원전선" display="https://kind.krx.co.kr/investwarn/investattentwarnrisky.do?method=investattentwarnriskyMain - companysum" xr:uid="{464608C0-6D7B-48D4-BF52-99EE650DEF62}"/>
    <hyperlink ref="B13" r:id="rId20" location="companysum" tooltip="레이" display="https://kind.krx.co.kr/investwarn/investattentwarnrisky.do?method=investattentwarnriskyMain - companysum" xr:uid="{F16F4883-9F38-467F-ACCE-EFFE000CE4A9}"/>
    <hyperlink ref="B14" r:id="rId21" location="companysum" tooltip="메가터치" display="https://kind.krx.co.kr/investwarn/investattentwarnrisky.do?method=investattentwarnriskyMain - companysum" xr:uid="{0B095D5A-2B49-4A5C-A5AA-234ED8F0CCE8}"/>
    <hyperlink ref="B15" r:id="rId22" location="companysum" tooltip="브이엠" display="https://kind.krx.co.kr/investwarn/investattentwarnrisky.do?method=investattentwarnriskyMain - companysum" xr:uid="{F1DE3B78-3F60-4B1C-9BA8-46DC49894224}"/>
    <hyperlink ref="B16" r:id="rId23" location="companysum" tooltip="비나텍" display="https://kind.krx.co.kr/investwarn/investattentwarnrisky.do?method=investattentwarnriskyMain - companysum" xr:uid="{268B3AD3-5081-4FAB-8335-15BACFA6995C}"/>
    <hyperlink ref="B17" r:id="rId24" location="companysum" tooltip="삼성전기우" display="https://kind.krx.co.kr/investwarn/investattentwarnrisky.do?method=investattentwarnriskyMain - companysum" xr:uid="{963B95DD-E413-4DED-9578-6D395A018833}"/>
    <hyperlink ref="B18" r:id="rId25" location="companysum" tooltip="서울바이오시스" display="https://kind.krx.co.kr/investwarn/investattentwarnrisky.do?method=investattentwarnriskyMain - companysum" xr:uid="{51C3F2FC-5CB6-471B-AF34-BFD922A498EE}"/>
    <hyperlink ref="B19" r:id="rId26" location="companysum" tooltip="아모그린텍" display="https://kind.krx.co.kr/investwarn/investattentwarnrisky.do?method=investattentwarnriskyMain - companysum" xr:uid="{6B291AB0-268A-4F77-9FDF-CB7B5E1CDB55}"/>
    <hyperlink ref="B20" r:id="rId27" location="companysum" tooltip="알엔티엑스" display="https://kind.krx.co.kr/investwarn/investattentwarnrisky.do?method=investattentwarnriskyMain - companysum" xr:uid="{B31239EA-E16A-42FA-90B4-4818F6357834}"/>
    <hyperlink ref="B21" r:id="rId28" location="companysum" tooltip="에이프로" display="https://kind.krx.co.kr/investwarn/investattentwarnrisky.do?method=investattentwarnriskyMain - companysum" xr:uid="{B44EF400-BC71-4A7B-920B-4CA71D98828F}"/>
    <hyperlink ref="B22" r:id="rId29" location="companysum" tooltip="웨이브일렉트로" display="https://kind.krx.co.kr/investwarn/investattentwarnrisky.do?method=investattentwarnriskyMain - companysum" xr:uid="{1C74C544-3DEB-4298-A4E4-D9777A4ECC8A}"/>
    <hyperlink ref="B23" r:id="rId30" location="companysum" tooltip="주성코퍼레이션" display="https://kind.krx.co.kr/investwarn/investattentwarnrisky.do?method=investattentwarnriskyMain - companysum" xr:uid="{D0FEDC2B-2A6C-433D-80EF-0F6B570802BC}"/>
    <hyperlink ref="B24" r:id="rId31" location="companysum" tooltip="카티스" display="https://kind.krx.co.kr/investwarn/investattentwarnrisky.do?method=investattentwarnriskyMain - companysum" xr:uid="{B9A91DFA-5123-4564-AD85-070AA62294C4}"/>
    <hyperlink ref="B25" r:id="rId32" location="companysum" tooltip="파두" display="https://kind.krx.co.kr/investwarn/investattentwarnrisky.do?method=investattentwarnriskyMain - companysum" xr:uid="{6B67C8D4-85CD-4E44-908D-9EDD750C3DEF}"/>
    <hyperlink ref="H20" r:id="rId33" location="companysum" tooltip="미래에셋벤처투자" display="https://kind.krx.co.kr/investwarn/investattentwarnrisky.do?method=investattentwarnriskyMain - companysum" xr:uid="{FD1CCA8D-C332-42D0-A739-89E52A99223F}"/>
    <hyperlink ref="H22" r:id="rId34" location="companysum" tooltip="대덕전자" display="https://kind.krx.co.kr/investwarn/investattentwarnrisky.do?method=investattentwarnriskyMain - companysum" xr:uid="{31EB9A96-AB62-4CE3-826A-EF4A6F290C20}"/>
    <hyperlink ref="H21" r:id="rId35" location="companysum" tooltip="두산테스나" display="https://kind.krx.co.kr/investwarn/investattentwarnrisky.do?method=investattentwarnriskyMain - companysum" xr:uid="{9E69AC1F-C447-4DB5-BFED-5FE09B0BF0E7}"/>
    <hyperlink ref="H23" r:id="rId36" location="companysum" tooltip="대우건설" display="https://kind.krx.co.kr/investwarn/investattentwarnrisky.do?method=investattentwarnriskyMain - companysum" xr:uid="{8938CE34-EE4F-47A0-A363-95FFA0FF7A7B}"/>
    <hyperlink ref="H24" r:id="rId37" location="companysum" tooltip="이오테크닉스" display="https://kind.krx.co.kr/investwarn/investattentwarnrisky.do?method=investattentwarnriskyMain - companysum" xr:uid="{D50B4955-98F3-4E5D-A921-A96D89CC68AE}"/>
    <hyperlink ref="H25" r:id="rId38" location="companysum" tooltip="드림시큐리티" display="https://kind.krx.co.kr/investwarn/investattentwarnrisky.do?method=investattentwarnriskyMain - companysum" xr:uid="{B3609D94-919D-4253-A367-5EEB6380694D}"/>
    <hyperlink ref="H26" r:id="rId39" location="companysum" tooltip="루멘스" display="https://kind.krx.co.kr/investwarn/investattentwarnrisky.do?method=investattentwarnriskyMain - companysum" xr:uid="{10CE0FEF-BF75-491E-BBC4-370A5F0D2BFC}"/>
    <hyperlink ref="H27" r:id="rId40" location="companysum" tooltip="브이엠" display="https://kind.krx.co.kr/investwarn/investattentwarnrisky.do?method=investattentwarnriskyMain - companysum" xr:uid="{61846372-F92D-4AA8-B2E7-641A7A1C5979}"/>
    <hyperlink ref="H28" r:id="rId41" location="companysum" tooltip="LS에코에너지" display="https://kind.krx.co.kr/investwarn/investattentwarnrisky.do?method=investattentwarnriskyMain - companysum" xr:uid="{98D63C7E-9807-4BBF-A6E6-52C5CACCF583}"/>
    <hyperlink ref="H29" r:id="rId42" location="companysum" tooltip="네패스" display="https://kind.krx.co.kr/investwarn/investattentwarnrisky.do?method=investattentwarnriskyMain - companysum" xr:uid="{7B05FE7A-F2FD-4357-9DC6-78077CB992D9}"/>
    <hyperlink ref="H30" r:id="rId43" location="companysum" tooltip="에이프로" display="https://kind.krx.co.kr/investwarn/investattentwarnrisky.do?method=investattentwarnriskyMain - companysum" xr:uid="{EDFD901B-4806-4264-95DC-1BC046699621}"/>
    <hyperlink ref="H31" r:id="rId44" location="companysum" tooltip="엘티씨" display="https://kind.krx.co.kr/investwarn/investattentwarnrisky.do?method=investattentwarnriskyMain - companysum" xr:uid="{69CA25E9-AEFE-4EAA-9E28-723AAD196B5D}"/>
    <hyperlink ref="H32" r:id="rId45" location="companysum" tooltip="오르비텍" display="https://kind.krx.co.kr/investwarn/investattentwarnrisky.do?method=investattentwarnriskyMain - companysum" xr:uid="{C0F5B98D-002E-4F62-9702-E60D3B796017}"/>
    <hyperlink ref="H33" r:id="rId46" location="companysum" tooltip="한빛레이저" display="https://kind.krx.co.kr/investwarn/investattentwarnrisky.do?method=investattentwarnriskyMain - companysum" xr:uid="{4210FAFA-EDC8-4CEC-A90C-BE45CE41C4F3}"/>
    <hyperlink ref="H34" r:id="rId47" location="companysum" tooltip="KBI메탈" display="https://kind.krx.co.kr/investwarn/investattentwarnrisky.do?method=investattentwarnriskyMain - companysum" xr:uid="{82C07E4B-C31A-4B6B-B02D-904AE3065F11}"/>
    <hyperlink ref="H35" r:id="rId48" location="companysum" tooltip="오름테라퓨틱" display="https://kind.krx.co.kr/investwarn/investattentwarnrisky.do?method=investattentwarnriskyMain - companysum" xr:uid="{0C509D46-59DC-453B-B24A-68D18EC7AB81}"/>
    <hyperlink ref="H36" r:id="rId49" location="companysum" tooltip="대원전선" display="https://kind.krx.co.kr/investwarn/investattentwarnrisky.do?method=investattentwarnriskyMain - companysum" xr:uid="{DC24F7DD-AAA5-4B1C-8179-0B653E235209}"/>
    <hyperlink ref="H37" r:id="rId50" location="companysum" tooltip="라이콤" display="https://kind.krx.co.kr/investwarn/investattentwarnrisky.do?method=investattentwarnriskyMain - companysum" xr:uid="{CD063D95-3C66-44F8-8646-07C45CF7F8E2}"/>
    <hyperlink ref="H38" r:id="rId51" location="companysum" tooltip="서울바이오시스" display="https://kind.krx.co.kr/investwarn/investattentwarnrisky.do?method=investattentwarnriskyMain - companysum" xr:uid="{0F3801FD-83CC-4E2E-AD99-BA2F798859E4}"/>
    <hyperlink ref="H39" r:id="rId52" location="companysum" tooltip="우리로" display="https://kind.krx.co.kr/investwarn/investattentwarnrisky.do?method=investattentwarnriskyMain - companysum" xr:uid="{9C12A9A2-0C16-4914-930B-C755232106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tabColor rgb="FFFFC000"/>
  </sheetPr>
  <dimension ref="A1:AB172"/>
  <sheetViews>
    <sheetView zoomScale="145" zoomScaleNormal="145" zoomScaleSheetLayoutView="100" workbookViewId="0">
      <pane xSplit="1" topLeftCell="W1" activePane="topRight" state="frozen"/>
      <selection activeCell="D3" sqref="D3"/>
      <selection pane="topRight" activeCell="A6" sqref="A6"/>
    </sheetView>
  </sheetViews>
  <sheetFormatPr defaultColWidth="9" defaultRowHeight="13.2" x14ac:dyDescent="0.4"/>
  <cols>
    <col min="1" max="1" width="13" style="9" customWidth="1"/>
    <col min="2" max="2" width="20.296875" style="9" customWidth="1"/>
    <col min="3" max="3" width="40.69921875" style="9" hidden="1" customWidth="1"/>
    <col min="4" max="4" width="11" style="10" customWidth="1"/>
    <col min="5" max="8" width="14.8984375" style="9" customWidth="1"/>
    <col min="9" max="9" width="17.5" style="9" customWidth="1"/>
    <col min="10" max="26" width="15.59765625" style="9" customWidth="1"/>
    <col min="27" max="27" width="11.3984375" style="9" customWidth="1"/>
    <col min="28" max="28" width="9" style="9" customWidth="1"/>
    <col min="29" max="29" width="15.19921875" style="9" bestFit="1" customWidth="1"/>
    <col min="30" max="30" width="9.69921875" style="9" bestFit="1" customWidth="1"/>
    <col min="31" max="16384" width="9" style="9"/>
  </cols>
  <sheetData>
    <row r="1" spans="1:26" x14ac:dyDescent="0.4">
      <c r="A1" s="9" t="s">
        <v>16</v>
      </c>
    </row>
    <row r="2" spans="1:26" x14ac:dyDescent="0.4">
      <c r="A2" s="9" t="s">
        <v>17</v>
      </c>
    </row>
    <row r="3" spans="1:26" x14ac:dyDescent="0.4">
      <c r="A3" s="187" t="s">
        <v>18</v>
      </c>
      <c r="B3" s="11">
        <v>2</v>
      </c>
      <c r="C3" s="11">
        <v>3</v>
      </c>
      <c r="D3" s="11">
        <v>4</v>
      </c>
      <c r="E3" s="11">
        <v>5</v>
      </c>
      <c r="F3" s="11">
        <f>E3+1</f>
        <v>6</v>
      </c>
      <c r="G3" s="11">
        <f t="shared" ref="G3:Z3" si="0">F3+1</f>
        <v>7</v>
      </c>
      <c r="H3" s="11">
        <f t="shared" si="0"/>
        <v>8</v>
      </c>
      <c r="I3" s="11">
        <f t="shared" si="0"/>
        <v>9</v>
      </c>
      <c r="J3" s="11">
        <f t="shared" si="0"/>
        <v>10</v>
      </c>
      <c r="K3" s="11">
        <f t="shared" si="0"/>
        <v>11</v>
      </c>
      <c r="L3" s="11">
        <f t="shared" si="0"/>
        <v>12</v>
      </c>
      <c r="M3" s="11">
        <f t="shared" si="0"/>
        <v>13</v>
      </c>
      <c r="N3" s="11">
        <f t="shared" si="0"/>
        <v>14</v>
      </c>
      <c r="O3" s="11">
        <f t="shared" si="0"/>
        <v>15</v>
      </c>
      <c r="P3" s="11">
        <f t="shared" si="0"/>
        <v>16</v>
      </c>
      <c r="Q3" s="11">
        <f t="shared" si="0"/>
        <v>17</v>
      </c>
      <c r="R3" s="11">
        <f t="shared" si="0"/>
        <v>18</v>
      </c>
      <c r="S3" s="11">
        <f t="shared" si="0"/>
        <v>19</v>
      </c>
      <c r="T3" s="11">
        <f t="shared" si="0"/>
        <v>20</v>
      </c>
      <c r="U3" s="11">
        <f t="shared" si="0"/>
        <v>21</v>
      </c>
      <c r="V3" s="11">
        <f t="shared" si="0"/>
        <v>22</v>
      </c>
      <c r="W3" s="11">
        <f t="shared" si="0"/>
        <v>23</v>
      </c>
      <c r="X3" s="11">
        <f t="shared" si="0"/>
        <v>24</v>
      </c>
      <c r="Y3" s="11">
        <f t="shared" si="0"/>
        <v>25</v>
      </c>
      <c r="Z3" s="11">
        <f t="shared" si="0"/>
        <v>26</v>
      </c>
    </row>
    <row r="4" spans="1:26" x14ac:dyDescent="0.4">
      <c r="A4" s="12" t="s">
        <v>19</v>
      </c>
      <c r="B4" s="13" t="s">
        <v>20</v>
      </c>
      <c r="C4" s="13" t="s">
        <v>21</v>
      </c>
      <c r="D4" s="13" t="s">
        <v>22</v>
      </c>
      <c r="E4" s="13" t="s">
        <v>23</v>
      </c>
      <c r="F4" s="13" t="s">
        <v>24</v>
      </c>
      <c r="G4" s="13" t="s">
        <v>25</v>
      </c>
      <c r="H4" s="13" t="s">
        <v>26</v>
      </c>
      <c r="I4" s="13" t="s">
        <v>27</v>
      </c>
      <c r="J4" s="13" t="s">
        <v>28</v>
      </c>
      <c r="K4" s="13" t="s">
        <v>29</v>
      </c>
      <c r="L4" s="13" t="s">
        <v>30</v>
      </c>
      <c r="M4" s="13" t="s">
        <v>31</v>
      </c>
      <c r="N4" s="13" t="s">
        <v>32</v>
      </c>
      <c r="O4" s="13" t="s">
        <v>33</v>
      </c>
      <c r="P4" s="13" t="s">
        <v>34</v>
      </c>
      <c r="Q4" s="13" t="s">
        <v>35</v>
      </c>
      <c r="R4" s="13" t="s">
        <v>36</v>
      </c>
      <c r="S4" s="13" t="s">
        <v>37</v>
      </c>
      <c r="T4" s="13" t="s">
        <v>2977</v>
      </c>
      <c r="U4" s="13" t="s">
        <v>3009</v>
      </c>
      <c r="V4" s="13" t="s">
        <v>3112</v>
      </c>
      <c r="W4" s="13" t="s">
        <v>3115</v>
      </c>
      <c r="X4" s="13" t="s">
        <v>3123</v>
      </c>
      <c r="Y4" s="13" t="s">
        <v>3279</v>
      </c>
      <c r="Z4" s="13" t="s">
        <v>3369</v>
      </c>
    </row>
    <row r="5" spans="1:26" x14ac:dyDescent="0.4">
      <c r="A5" s="12" t="s">
        <v>3391</v>
      </c>
      <c r="B5" s="12" t="str">
        <f>VLOOKUP($A$5,$A$45:$J$202,B3,0)</f>
        <v>반도체</v>
      </c>
      <c r="C5" s="12" t="str">
        <f>VLOOKUP($A$5,$A$45:$J$202,C3,0)</f>
        <v>위탁생산</v>
      </c>
      <c r="D5" s="12" t="str">
        <f>VLOOKUP($A$5,$A$45:$J$202,D3,0)</f>
        <v>(단위 : US$1,000)</v>
      </c>
      <c r="E5" s="14">
        <f t="shared" ref="E5:Q5" si="1">VLOOKUP($A$5,$A$45:$Q$521,E3,0)</f>
        <v>0</v>
      </c>
      <c r="F5" s="14">
        <f t="shared" si="1"/>
        <v>0</v>
      </c>
      <c r="G5" s="14">
        <f t="shared" si="1"/>
        <v>0</v>
      </c>
      <c r="H5" s="14">
        <f t="shared" si="1"/>
        <v>0</v>
      </c>
      <c r="I5" s="14">
        <f t="shared" si="1"/>
        <v>0</v>
      </c>
      <c r="J5" s="14">
        <f t="shared" si="1"/>
        <v>0</v>
      </c>
      <c r="K5" s="14">
        <f t="shared" si="1"/>
        <v>0</v>
      </c>
      <c r="L5" s="14">
        <f t="shared" si="1"/>
        <v>0</v>
      </c>
      <c r="M5" s="14">
        <f t="shared" si="1"/>
        <v>0</v>
      </c>
      <c r="N5" s="14">
        <f t="shared" si="1"/>
        <v>175762</v>
      </c>
      <c r="O5" s="14">
        <f t="shared" si="1"/>
        <v>19264</v>
      </c>
      <c r="P5" s="14">
        <f t="shared" si="1"/>
        <v>26184</v>
      </c>
      <c r="Q5" s="14">
        <f t="shared" si="1"/>
        <v>24121</v>
      </c>
      <c r="R5" s="14">
        <f t="shared" ref="R5:Z5" si="2">VLOOKUP($A$5,$A$45:$AC$521,R3,0)</f>
        <v>23363</v>
      </c>
      <c r="S5" s="14">
        <f t="shared" si="2"/>
        <v>69384</v>
      </c>
      <c r="T5" s="14">
        <f t="shared" si="2"/>
        <v>15880</v>
      </c>
      <c r="U5" s="14">
        <f t="shared" si="2"/>
        <v>31325</v>
      </c>
      <c r="V5" s="14">
        <f t="shared" si="2"/>
        <v>39200</v>
      </c>
      <c r="W5" s="14">
        <f t="shared" si="2"/>
        <v>81964</v>
      </c>
      <c r="X5" s="14">
        <f t="shared" si="2"/>
        <v>113111</v>
      </c>
      <c r="Y5" s="14">
        <f t="shared" si="2"/>
        <v>248867</v>
      </c>
      <c r="Z5" s="14">
        <f t="shared" si="2"/>
        <v>364814</v>
      </c>
    </row>
    <row r="6" spans="1:26" x14ac:dyDescent="0.4">
      <c r="A6" s="17" t="s">
        <v>3373</v>
      </c>
    </row>
    <row r="7" spans="1:26" x14ac:dyDescent="0.4">
      <c r="A7" s="17" t="s">
        <v>256</v>
      </c>
    </row>
    <row r="8" spans="1:26" x14ac:dyDescent="0.4">
      <c r="A8" s="17" t="s">
        <v>258</v>
      </c>
    </row>
    <row r="9" spans="1:26" x14ac:dyDescent="0.4">
      <c r="A9" s="17" t="s">
        <v>260</v>
      </c>
    </row>
    <row r="10" spans="1:26" x14ac:dyDescent="0.4">
      <c r="A10" s="9" t="s">
        <v>3374</v>
      </c>
    </row>
    <row r="11" spans="1:26" x14ac:dyDescent="0.4">
      <c r="A11" s="9" t="s">
        <v>265</v>
      </c>
      <c r="I11" s="15"/>
    </row>
    <row r="12" spans="1:26" x14ac:dyDescent="0.4">
      <c r="I12" s="16"/>
    </row>
    <row r="13" spans="1:26" x14ac:dyDescent="0.4">
      <c r="A13" s="9" t="s">
        <v>183</v>
      </c>
    </row>
    <row r="14" spans="1:26" x14ac:dyDescent="0.4">
      <c r="A14" s="9" t="s">
        <v>14</v>
      </c>
    </row>
    <row r="15" spans="1:26" x14ac:dyDescent="0.4">
      <c r="A15" s="9" t="s">
        <v>198</v>
      </c>
    </row>
    <row r="16" spans="1:26" x14ac:dyDescent="0.4">
      <c r="A16" s="9" t="s">
        <v>204</v>
      </c>
    </row>
    <row r="17" spans="1:1" x14ac:dyDescent="0.4">
      <c r="A17" s="9" t="s">
        <v>3378</v>
      </c>
    </row>
    <row r="18" spans="1:1" ht="15.75" customHeight="1" x14ac:dyDescent="0.4">
      <c r="A18" s="9" t="s">
        <v>220</v>
      </c>
    </row>
    <row r="19" spans="1:1" ht="15.75" customHeight="1" x14ac:dyDescent="0.4">
      <c r="A19" s="9" t="s">
        <v>221</v>
      </c>
    </row>
    <row r="20" spans="1:1" ht="15.75" customHeight="1" x14ac:dyDescent="0.4">
      <c r="A20" s="9" t="s">
        <v>223</v>
      </c>
    </row>
    <row r="21" spans="1:1" ht="15.75" customHeight="1" x14ac:dyDescent="0.4">
      <c r="A21" s="9" t="s">
        <v>225</v>
      </c>
    </row>
    <row r="23" spans="1:1" x14ac:dyDescent="0.4">
      <c r="A23" s="9" t="s">
        <v>3375</v>
      </c>
    </row>
    <row r="24" spans="1:1" x14ac:dyDescent="0.4">
      <c r="A24" s="9" t="s">
        <v>3376</v>
      </c>
    </row>
    <row r="25" spans="1:1" x14ac:dyDescent="0.4">
      <c r="A25" s="9" t="s">
        <v>3377</v>
      </c>
    </row>
    <row r="27" spans="1:1" x14ac:dyDescent="0.4">
      <c r="A27" s="9" t="s">
        <v>133</v>
      </c>
    </row>
    <row r="28" spans="1:1" x14ac:dyDescent="0.4">
      <c r="A28" s="9" t="s">
        <v>140</v>
      </c>
    </row>
    <row r="29" spans="1:1" x14ac:dyDescent="0.4">
      <c r="A29" s="9" t="s">
        <v>148</v>
      </c>
    </row>
    <row r="32" spans="1:1" x14ac:dyDescent="0.4">
      <c r="A32" s="9" t="s">
        <v>79</v>
      </c>
    </row>
    <row r="33" spans="1:28" x14ac:dyDescent="0.4">
      <c r="A33" s="9" t="s">
        <v>81</v>
      </c>
    </row>
    <row r="34" spans="1:28" x14ac:dyDescent="0.4">
      <c r="A34" s="9" t="s">
        <v>84</v>
      </c>
    </row>
    <row r="36" spans="1:28" x14ac:dyDescent="0.4">
      <c r="A36" s="9" t="s">
        <v>232</v>
      </c>
    </row>
    <row r="37" spans="1:28" x14ac:dyDescent="0.4">
      <c r="A37" s="9" t="s">
        <v>3379</v>
      </c>
    </row>
    <row r="38" spans="1:28" x14ac:dyDescent="0.4">
      <c r="A38" s="9" t="s">
        <v>90</v>
      </c>
    </row>
    <row r="39" spans="1:28" x14ac:dyDescent="0.4">
      <c r="A39" s="9" t="s">
        <v>91</v>
      </c>
    </row>
    <row r="40" spans="1:28" x14ac:dyDescent="0.4">
      <c r="A40" s="9" t="s">
        <v>92</v>
      </c>
    </row>
    <row r="41" spans="1:28" x14ac:dyDescent="0.4">
      <c r="A41" s="9" t="s">
        <v>3380</v>
      </c>
    </row>
    <row r="43" spans="1:28" x14ac:dyDescent="0.4">
      <c r="A43" s="17" t="s">
        <v>38</v>
      </c>
      <c r="D43" s="9"/>
    </row>
    <row r="44" spans="1:28" x14ac:dyDescent="0.4">
      <c r="A44" s="13" t="s">
        <v>19</v>
      </c>
      <c r="B44" s="13" t="s">
        <v>20</v>
      </c>
      <c r="C44" s="13" t="s">
        <v>21</v>
      </c>
      <c r="D44" s="13" t="s">
        <v>22</v>
      </c>
      <c r="E44" s="13" t="s">
        <v>23</v>
      </c>
      <c r="F44" s="13" t="s">
        <v>24</v>
      </c>
      <c r="G44" s="13" t="s">
        <v>25</v>
      </c>
      <c r="H44" s="13" t="s">
        <v>26</v>
      </c>
      <c r="I44" s="13" t="s">
        <v>27</v>
      </c>
      <c r="J44" s="13" t="s">
        <v>28</v>
      </c>
      <c r="K44" s="13" t="s">
        <v>29</v>
      </c>
      <c r="L44" s="13" t="s">
        <v>30</v>
      </c>
      <c r="M44" s="13" t="s">
        <v>31</v>
      </c>
      <c r="N44" s="13" t="s">
        <v>32</v>
      </c>
      <c r="O44" s="13" t="s">
        <v>33</v>
      </c>
      <c r="P44" s="13" t="s">
        <v>34</v>
      </c>
      <c r="Q44" s="13" t="s">
        <v>35</v>
      </c>
      <c r="R44" s="13" t="s">
        <v>39</v>
      </c>
      <c r="S44" s="13" t="s">
        <v>37</v>
      </c>
      <c r="T44" s="13" t="s">
        <v>2977</v>
      </c>
      <c r="U44" s="13" t="s">
        <v>3009</v>
      </c>
      <c r="V44" s="13" t="s">
        <v>3113</v>
      </c>
      <c r="W44" s="13" t="s">
        <v>3115</v>
      </c>
      <c r="X44" s="13" t="s">
        <v>3123</v>
      </c>
      <c r="Y44" s="13" t="s">
        <v>3279</v>
      </c>
      <c r="Z44" s="13" t="s">
        <v>3370</v>
      </c>
      <c r="AA44" s="10" t="s">
        <v>40</v>
      </c>
      <c r="AB44" s="10" t="s">
        <v>41</v>
      </c>
    </row>
    <row r="45" spans="1:28" x14ac:dyDescent="0.4">
      <c r="A45" s="12" t="s">
        <v>42</v>
      </c>
      <c r="B45" s="12" t="s">
        <v>43</v>
      </c>
      <c r="C45" s="12" t="s">
        <v>44</v>
      </c>
      <c r="D45" s="13" t="s">
        <v>45</v>
      </c>
      <c r="E45" s="18">
        <v>163998</v>
      </c>
      <c r="F45" s="18">
        <v>183993</v>
      </c>
      <c r="G45" s="18">
        <v>221581</v>
      </c>
      <c r="H45" s="18">
        <v>190875</v>
      </c>
      <c r="I45" s="18">
        <v>179785</v>
      </c>
      <c r="J45" s="14">
        <v>174799</v>
      </c>
      <c r="K45" s="14">
        <v>166845</v>
      </c>
      <c r="L45" s="14">
        <v>178944</v>
      </c>
      <c r="M45" s="14">
        <v>159096</v>
      </c>
      <c r="N45" s="14">
        <v>141814</v>
      </c>
      <c r="O45" s="14">
        <v>177448</v>
      </c>
      <c r="P45" s="14">
        <v>191619</v>
      </c>
      <c r="Q45" s="14">
        <v>175861</v>
      </c>
      <c r="R45" s="14">
        <v>213976</v>
      </c>
      <c r="S45" s="14">
        <v>215502</v>
      </c>
      <c r="T45" s="14">
        <v>210156</v>
      </c>
      <c r="U45" s="14">
        <v>182672</v>
      </c>
      <c r="V45" s="14">
        <v>194346</v>
      </c>
      <c r="W45" s="14">
        <v>219550</v>
      </c>
      <c r="X45" s="14">
        <v>164061</v>
      </c>
      <c r="Y45" s="14">
        <v>196201</v>
      </c>
      <c r="Z45" s="14">
        <v>225081</v>
      </c>
      <c r="AA45" s="19">
        <f>Z45/Y45-1</f>
        <v>0.14719598778803378</v>
      </c>
      <c r="AB45" s="19">
        <f>Z45/V45-1</f>
        <v>0.15814578123552847</v>
      </c>
    </row>
    <row r="46" spans="1:28" x14ac:dyDescent="0.4">
      <c r="A46" s="12" t="s">
        <v>46</v>
      </c>
      <c r="B46" s="12" t="s">
        <v>43</v>
      </c>
      <c r="C46" s="12" t="s">
        <v>47</v>
      </c>
      <c r="D46" s="13" t="s">
        <v>48</v>
      </c>
      <c r="E46" s="18">
        <v>147</v>
      </c>
      <c r="F46" s="18">
        <v>128.19999999999999</v>
      </c>
      <c r="G46" s="18">
        <v>264.5</v>
      </c>
      <c r="H46" s="18">
        <v>257.8</v>
      </c>
      <c r="I46" s="18">
        <v>252.3</v>
      </c>
      <c r="J46" s="14">
        <v>302.7</v>
      </c>
      <c r="K46" s="14">
        <v>810.3</v>
      </c>
      <c r="L46" s="14">
        <v>791.4</v>
      </c>
      <c r="M46" s="14">
        <v>718.6</v>
      </c>
      <c r="N46" s="14">
        <v>986.6</v>
      </c>
      <c r="O46" s="14">
        <v>1190</v>
      </c>
      <c r="P46" s="14">
        <v>1024.0999999999999</v>
      </c>
      <c r="Q46" s="14">
        <v>820.8</v>
      </c>
      <c r="R46" s="14">
        <v>703</v>
      </c>
      <c r="S46" s="14">
        <v>661.4</v>
      </c>
      <c r="T46" s="183">
        <v>299.8</v>
      </c>
      <c r="U46" s="183">
        <v>5286</v>
      </c>
      <c r="V46" s="183">
        <v>6143</v>
      </c>
      <c r="W46" s="183">
        <v>6315</v>
      </c>
      <c r="X46" s="183">
        <v>6762</v>
      </c>
      <c r="Y46" s="183">
        <v>8256</v>
      </c>
      <c r="Z46" s="183">
        <v>7153</v>
      </c>
      <c r="AA46" s="19">
        <f t="shared" ref="AA46:AA109" si="3">Z46/Y46-1</f>
        <v>-0.13359980620155043</v>
      </c>
      <c r="AB46" s="19">
        <f t="shared" ref="AB46:AB109" si="4">Z46/V46-1</f>
        <v>0.16441478105160345</v>
      </c>
    </row>
    <row r="47" spans="1:28" x14ac:dyDescent="0.4">
      <c r="A47" s="12" t="s">
        <v>49</v>
      </c>
      <c r="B47" s="12" t="s">
        <v>50</v>
      </c>
      <c r="C47" s="12" t="s">
        <v>51</v>
      </c>
      <c r="D47" s="13" t="s">
        <v>52</v>
      </c>
      <c r="E47" s="14">
        <v>404401</v>
      </c>
      <c r="F47" s="14">
        <v>508691</v>
      </c>
      <c r="G47" s="14">
        <v>436419</v>
      </c>
      <c r="H47" s="14">
        <v>543396</v>
      </c>
      <c r="I47" s="14">
        <v>686323</v>
      </c>
      <c r="J47" s="14">
        <v>647245</v>
      </c>
      <c r="K47" s="14">
        <v>854179</v>
      </c>
      <c r="L47" s="14">
        <v>1167116</v>
      </c>
      <c r="M47" s="14">
        <v>1281417</v>
      </c>
      <c r="N47" s="14">
        <v>1235246</v>
      </c>
      <c r="O47" s="14">
        <v>1303634</v>
      </c>
      <c r="P47" s="14">
        <v>1631404</v>
      </c>
      <c r="Q47" s="14">
        <v>1558783</v>
      </c>
      <c r="R47" s="20">
        <v>1459747</v>
      </c>
      <c r="S47" s="20">
        <v>1351013</v>
      </c>
      <c r="T47" s="20">
        <v>1257992</v>
      </c>
      <c r="U47" s="20">
        <v>1213871</v>
      </c>
      <c r="V47" s="20">
        <v>1293112</v>
      </c>
      <c r="W47" s="20">
        <v>1189725</v>
      </c>
      <c r="X47" s="20">
        <v>1238125</v>
      </c>
      <c r="Y47" s="20">
        <v>1141657</v>
      </c>
      <c r="Z47" s="20">
        <v>1204445</v>
      </c>
      <c r="AA47" s="19">
        <f t="shared" si="3"/>
        <v>5.4997253991347694E-2</v>
      </c>
      <c r="AB47" s="19">
        <f t="shared" si="4"/>
        <v>-6.8568693199042352E-2</v>
      </c>
    </row>
    <row r="48" spans="1:28" x14ac:dyDescent="0.4">
      <c r="A48" s="21" t="s">
        <v>53</v>
      </c>
      <c r="B48" s="12" t="s">
        <v>54</v>
      </c>
      <c r="C48" s="12" t="s">
        <v>55</v>
      </c>
      <c r="D48" s="13" t="s">
        <v>45</v>
      </c>
      <c r="E48" s="22">
        <v>23919</v>
      </c>
      <c r="F48" s="22">
        <v>15729</v>
      </c>
      <c r="G48" s="22">
        <v>17773</v>
      </c>
      <c r="H48" s="22">
        <v>20122</v>
      </c>
      <c r="I48" s="22">
        <v>36318</v>
      </c>
      <c r="J48" s="22">
        <v>65950</v>
      </c>
      <c r="K48" s="22">
        <v>105148</v>
      </c>
      <c r="L48" s="22">
        <v>138172</v>
      </c>
      <c r="M48" s="22">
        <v>147256</v>
      </c>
      <c r="N48" s="22">
        <v>160155</v>
      </c>
      <c r="O48" s="22">
        <v>202690</v>
      </c>
      <c r="P48" s="22">
        <v>124637</v>
      </c>
      <c r="Q48" s="22">
        <v>87180</v>
      </c>
      <c r="R48" s="22">
        <v>59845</v>
      </c>
      <c r="S48" s="22">
        <v>43586</v>
      </c>
      <c r="T48" s="22">
        <v>46151</v>
      </c>
      <c r="U48" s="22">
        <v>52175</v>
      </c>
      <c r="V48" s="22">
        <v>51820</v>
      </c>
      <c r="W48" s="22">
        <v>41882</v>
      </c>
      <c r="X48" s="22">
        <v>35941</v>
      </c>
      <c r="Y48" s="22">
        <v>22160</v>
      </c>
      <c r="Z48" s="22">
        <v>38131</v>
      </c>
      <c r="AA48" s="19">
        <f t="shared" si="3"/>
        <v>0.72071299638989172</v>
      </c>
      <c r="AB48" s="19">
        <f t="shared" si="4"/>
        <v>-0.26416441528367429</v>
      </c>
    </row>
    <row r="49" spans="1:28" x14ac:dyDescent="0.4">
      <c r="A49" s="12" t="s">
        <v>56</v>
      </c>
      <c r="B49" s="12" t="s">
        <v>57</v>
      </c>
      <c r="C49" s="12" t="s">
        <v>58</v>
      </c>
      <c r="D49" s="13" t="s">
        <v>45</v>
      </c>
      <c r="E49" s="14">
        <v>28096</v>
      </c>
      <c r="F49" s="14">
        <v>61183</v>
      </c>
      <c r="G49" s="18">
        <v>91557</v>
      </c>
      <c r="H49" s="18">
        <v>54519</v>
      </c>
      <c r="I49" s="18">
        <v>17021</v>
      </c>
      <c r="J49" s="14">
        <v>49039</v>
      </c>
      <c r="K49" s="14">
        <v>72790</v>
      </c>
      <c r="L49" s="14">
        <v>95611</v>
      </c>
      <c r="M49" s="14">
        <v>63136</v>
      </c>
      <c r="N49" s="14">
        <v>214165</v>
      </c>
      <c r="O49" s="14">
        <v>248553</v>
      </c>
      <c r="P49" s="14">
        <v>224737</v>
      </c>
      <c r="Q49" s="14">
        <v>185052</v>
      </c>
      <c r="R49" s="14">
        <v>206393</v>
      </c>
      <c r="S49" s="14">
        <v>203675</v>
      </c>
      <c r="T49" s="14">
        <v>184294</v>
      </c>
      <c r="U49" s="14">
        <v>147896</v>
      </c>
      <c r="V49" s="14">
        <v>168044</v>
      </c>
      <c r="W49" s="14">
        <v>141481</v>
      </c>
      <c r="X49" s="14">
        <v>100002</v>
      </c>
      <c r="Y49" s="14">
        <v>126441</v>
      </c>
      <c r="Z49" s="14">
        <v>219664</v>
      </c>
      <c r="AA49" s="19">
        <f t="shared" si="3"/>
        <v>0.73728458332344737</v>
      </c>
      <c r="AB49" s="19">
        <f t="shared" si="4"/>
        <v>0.30718145247673223</v>
      </c>
    </row>
    <row r="50" spans="1:28" x14ac:dyDescent="0.4">
      <c r="A50" s="12" t="s">
        <v>59</v>
      </c>
      <c r="B50" s="12" t="s">
        <v>60</v>
      </c>
      <c r="C50" s="12" t="s">
        <v>61</v>
      </c>
      <c r="D50" s="13" t="s">
        <v>45</v>
      </c>
      <c r="E50" s="14">
        <v>443276</v>
      </c>
      <c r="F50" s="14">
        <v>728173</v>
      </c>
      <c r="G50" s="14">
        <v>673402</v>
      </c>
      <c r="H50" s="14">
        <v>959146</v>
      </c>
      <c r="I50" s="14">
        <v>1025275</v>
      </c>
      <c r="J50" s="14">
        <v>959349</v>
      </c>
      <c r="K50" s="14">
        <v>1183066</v>
      </c>
      <c r="L50" s="14">
        <v>1552179</v>
      </c>
      <c r="M50" s="14">
        <v>1472554</v>
      </c>
      <c r="N50" s="14">
        <v>1606369</v>
      </c>
      <c r="O50" s="14">
        <v>1995587</v>
      </c>
      <c r="P50" s="14">
        <v>2312242</v>
      </c>
      <c r="Q50" s="14">
        <v>2162743</v>
      </c>
      <c r="R50" s="14">
        <v>2239241</v>
      </c>
      <c r="S50" s="14">
        <v>2134423</v>
      </c>
      <c r="T50" s="14">
        <v>1961903</v>
      </c>
      <c r="U50" s="14">
        <v>2463453</v>
      </c>
      <c r="V50" s="14">
        <v>2348386</v>
      </c>
      <c r="W50" s="14">
        <v>2029077</v>
      </c>
      <c r="X50" s="14">
        <v>2219631</v>
      </c>
      <c r="Y50" s="14">
        <v>2137675</v>
      </c>
      <c r="Z50" s="14">
        <v>2076400</v>
      </c>
      <c r="AA50" s="19">
        <f t="shared" si="3"/>
        <v>-2.866431988024376E-2</v>
      </c>
      <c r="AB50" s="19">
        <f t="shared" si="4"/>
        <v>-0.11581826837666376</v>
      </c>
    </row>
    <row r="51" spans="1:28" x14ac:dyDescent="0.4">
      <c r="A51" s="12" t="s">
        <v>62</v>
      </c>
      <c r="B51" s="12" t="s">
        <v>54</v>
      </c>
      <c r="C51" s="12" t="s">
        <v>63</v>
      </c>
      <c r="D51" s="13" t="s">
        <v>45</v>
      </c>
      <c r="E51" s="14">
        <v>197573</v>
      </c>
      <c r="F51" s="14">
        <v>174193</v>
      </c>
      <c r="G51" s="14">
        <v>172964</v>
      </c>
      <c r="H51" s="20">
        <v>187396</v>
      </c>
      <c r="I51" s="14">
        <v>177511</v>
      </c>
      <c r="J51" s="14">
        <v>184030</v>
      </c>
      <c r="K51" s="14">
        <v>147392</v>
      </c>
      <c r="L51" s="14">
        <v>129621</v>
      </c>
      <c r="M51" s="14">
        <v>96556</v>
      </c>
      <c r="N51" s="14">
        <v>74486</v>
      </c>
      <c r="O51" s="14">
        <v>89488</v>
      </c>
      <c r="P51" s="14">
        <v>91893</v>
      </c>
      <c r="Q51" s="14">
        <v>61702</v>
      </c>
      <c r="R51" s="14">
        <v>62164</v>
      </c>
      <c r="S51" s="14">
        <v>42358</v>
      </c>
      <c r="T51" s="14">
        <v>59704</v>
      </c>
      <c r="U51" s="14">
        <v>20944</v>
      </c>
      <c r="V51" s="14">
        <v>45559</v>
      </c>
      <c r="W51" s="14">
        <v>37287</v>
      </c>
      <c r="X51" s="14">
        <v>27000</v>
      </c>
      <c r="Y51" s="14">
        <v>63804</v>
      </c>
      <c r="Z51" s="14">
        <v>81051</v>
      </c>
      <c r="AA51" s="19">
        <f t="shared" si="3"/>
        <v>0.27031220613127704</v>
      </c>
      <c r="AB51" s="19">
        <f t="shared" si="4"/>
        <v>0.77903378037270343</v>
      </c>
    </row>
    <row r="52" spans="1:28" x14ac:dyDescent="0.4">
      <c r="A52" s="12" t="s">
        <v>64</v>
      </c>
      <c r="B52" s="12" t="s">
        <v>65</v>
      </c>
      <c r="C52" s="12" t="s">
        <v>66</v>
      </c>
      <c r="D52" s="13" t="s">
        <v>45</v>
      </c>
      <c r="E52" s="14"/>
      <c r="F52" s="14"/>
      <c r="G52" s="14"/>
      <c r="H52" s="14"/>
      <c r="I52" s="14"/>
      <c r="J52" s="14">
        <v>135</v>
      </c>
      <c r="K52" s="14">
        <v>1786</v>
      </c>
      <c r="L52" s="14">
        <v>1891</v>
      </c>
      <c r="M52" s="14">
        <v>3766</v>
      </c>
      <c r="N52" s="14">
        <v>3669</v>
      </c>
      <c r="O52" s="14">
        <v>1857</v>
      </c>
      <c r="P52" s="14">
        <f>1797155*1000/1000000</f>
        <v>1797.155</v>
      </c>
      <c r="Q52" s="14">
        <f>9189353*1000/1000000</f>
        <v>9189.3529999999992</v>
      </c>
      <c r="R52" s="14">
        <f>9641359*1000/1000000</f>
        <v>9641.3590000000004</v>
      </c>
      <c r="S52" s="14">
        <v>7863</v>
      </c>
      <c r="T52" s="14">
        <v>6105</v>
      </c>
      <c r="U52" s="14">
        <v>4071</v>
      </c>
      <c r="V52" s="14">
        <v>3414</v>
      </c>
      <c r="W52" s="14">
        <v>4293</v>
      </c>
      <c r="X52" s="14">
        <v>2891</v>
      </c>
      <c r="Y52" s="14">
        <v>3303.4589999999998</v>
      </c>
      <c r="Z52" s="14">
        <v>3455</v>
      </c>
      <c r="AA52" s="19">
        <f t="shared" si="3"/>
        <v>4.5873431454726665E-2</v>
      </c>
      <c r="AB52" s="19">
        <f t="shared" si="4"/>
        <v>1.200937316930295E-2</v>
      </c>
    </row>
    <row r="53" spans="1:28" x14ac:dyDescent="0.4">
      <c r="A53" s="12" t="s">
        <v>67</v>
      </c>
      <c r="B53" s="12" t="s">
        <v>65</v>
      </c>
      <c r="C53" s="12" t="s">
        <v>66</v>
      </c>
      <c r="D53" s="13" t="s">
        <v>68</v>
      </c>
      <c r="E53" s="14"/>
      <c r="F53" s="14"/>
      <c r="G53" s="14"/>
      <c r="H53" s="14"/>
      <c r="I53" s="14">
        <f>440735</f>
        <v>440735</v>
      </c>
      <c r="J53" s="14">
        <v>256897</v>
      </c>
      <c r="K53" s="14">
        <v>9210</v>
      </c>
      <c r="L53" s="14">
        <v>7411</v>
      </c>
      <c r="M53" s="14">
        <v>842446</v>
      </c>
      <c r="N53" s="14">
        <v>450432</v>
      </c>
      <c r="O53" s="14">
        <v>56784</v>
      </c>
      <c r="P53" s="14">
        <v>120087</v>
      </c>
      <c r="Q53" s="14">
        <v>309108</v>
      </c>
      <c r="R53" s="14">
        <v>75903</v>
      </c>
      <c r="S53" s="14">
        <v>30473</v>
      </c>
      <c r="T53" s="14">
        <v>70894</v>
      </c>
      <c r="U53" s="14">
        <v>49048</v>
      </c>
      <c r="V53" s="14">
        <v>870689</v>
      </c>
      <c r="W53" s="14">
        <v>96424</v>
      </c>
      <c r="X53" s="14">
        <v>1027482</v>
      </c>
      <c r="Y53" s="14">
        <v>490463</v>
      </c>
      <c r="Z53" s="14">
        <v>1027482</v>
      </c>
      <c r="AA53" s="19">
        <f t="shared" si="3"/>
        <v>1.0949225527715649</v>
      </c>
      <c r="AB53" s="19">
        <f t="shared" si="4"/>
        <v>0.18007922461407011</v>
      </c>
    </row>
    <row r="54" spans="1:28" x14ac:dyDescent="0.4">
      <c r="A54" s="21" t="s">
        <v>3</v>
      </c>
      <c r="B54" s="12" t="s">
        <v>65</v>
      </c>
      <c r="C54" s="12" t="s">
        <v>66</v>
      </c>
      <c r="D54" s="13" t="s">
        <v>45</v>
      </c>
      <c r="E54" s="22"/>
      <c r="F54" s="22"/>
      <c r="G54" s="22">
        <v>1020</v>
      </c>
      <c r="H54" s="22">
        <v>1240</v>
      </c>
      <c r="I54" s="22">
        <v>1346</v>
      </c>
      <c r="J54" s="22">
        <v>3356</v>
      </c>
      <c r="K54" s="22">
        <v>3859</v>
      </c>
      <c r="L54" s="22">
        <v>4413</v>
      </c>
      <c r="M54" s="22">
        <v>1664</v>
      </c>
      <c r="N54" s="22">
        <v>1658</v>
      </c>
      <c r="O54" s="22">
        <v>1602</v>
      </c>
      <c r="P54" s="22">
        <v>1466</v>
      </c>
      <c r="Q54" s="22">
        <v>1072</v>
      </c>
      <c r="R54" s="22">
        <v>1021</v>
      </c>
      <c r="S54" s="22">
        <v>1010</v>
      </c>
      <c r="T54" s="22">
        <v>962</v>
      </c>
      <c r="U54" s="22">
        <v>694</v>
      </c>
      <c r="V54" s="22">
        <v>615</v>
      </c>
      <c r="W54" s="22">
        <v>345</v>
      </c>
      <c r="X54" s="22">
        <v>40</v>
      </c>
      <c r="Y54" s="22">
        <v>40</v>
      </c>
      <c r="Z54" s="22">
        <v>20</v>
      </c>
      <c r="AA54" s="19">
        <f t="shared" si="3"/>
        <v>-0.5</v>
      </c>
      <c r="AB54" s="19">
        <f t="shared" si="4"/>
        <v>-0.96747967479674801</v>
      </c>
    </row>
    <row r="55" spans="1:28" x14ac:dyDescent="0.4">
      <c r="A55" s="21" t="s">
        <v>14</v>
      </c>
      <c r="B55" s="12" t="s">
        <v>54</v>
      </c>
      <c r="C55" s="12" t="s">
        <v>69</v>
      </c>
      <c r="D55" s="13" t="s">
        <v>45</v>
      </c>
      <c r="E55" s="22"/>
      <c r="F55" s="22"/>
      <c r="G55" s="22">
        <v>67208</v>
      </c>
      <c r="H55" s="22">
        <v>55100</v>
      </c>
      <c r="I55" s="22">
        <v>44233</v>
      </c>
      <c r="J55" s="22">
        <v>51232</v>
      </c>
      <c r="K55" s="22">
        <v>56041</v>
      </c>
      <c r="L55" s="22">
        <v>69698</v>
      </c>
      <c r="M55" s="22">
        <v>38927</v>
      </c>
      <c r="N55" s="22">
        <v>30191</v>
      </c>
      <c r="O55" s="22">
        <v>28671</v>
      </c>
      <c r="P55" s="22">
        <v>22685</v>
      </c>
      <c r="Q55" s="22">
        <v>32640</v>
      </c>
      <c r="R55" s="22">
        <v>28468</v>
      </c>
      <c r="S55" s="22">
        <v>28449</v>
      </c>
      <c r="T55" s="22">
        <v>19902</v>
      </c>
      <c r="U55" s="22">
        <v>26792</v>
      </c>
      <c r="V55" s="22">
        <v>19417</v>
      </c>
      <c r="W55" s="22">
        <v>10572</v>
      </c>
      <c r="X55" s="22">
        <v>9435</v>
      </c>
      <c r="Y55" s="22">
        <v>35940</v>
      </c>
      <c r="Z55" s="22">
        <v>48576</v>
      </c>
      <c r="AA55" s="19">
        <f t="shared" si="3"/>
        <v>0.35158597662771296</v>
      </c>
      <c r="AB55" s="19">
        <f t="shared" si="4"/>
        <v>1.5017252922696605</v>
      </c>
    </row>
    <row r="56" spans="1:28" x14ac:dyDescent="0.4">
      <c r="A56" s="21" t="s">
        <v>70</v>
      </c>
      <c r="B56" s="12" t="s">
        <v>54</v>
      </c>
      <c r="C56" s="12" t="s">
        <v>71</v>
      </c>
      <c r="D56" s="13" t="s">
        <v>45</v>
      </c>
      <c r="E56" s="22">
        <v>138836</v>
      </c>
      <c r="F56" s="22">
        <v>227182</v>
      </c>
      <c r="G56" s="22">
        <v>256803</v>
      </c>
      <c r="H56" s="22">
        <v>248237</v>
      </c>
      <c r="I56" s="22">
        <v>181940</v>
      </c>
      <c r="J56" s="22">
        <v>171149</v>
      </c>
      <c r="K56" s="22">
        <v>213995</v>
      </c>
      <c r="L56" s="22">
        <v>238646</v>
      </c>
      <c r="M56" s="22">
        <v>226394</v>
      </c>
      <c r="N56" s="22">
        <v>270195</v>
      </c>
      <c r="O56" s="22">
        <v>334232</v>
      </c>
      <c r="P56" s="22">
        <v>313414</v>
      </c>
      <c r="Q56" s="22">
        <v>544967</v>
      </c>
      <c r="R56" s="22">
        <v>494402</v>
      </c>
      <c r="S56" s="22">
        <v>592831</v>
      </c>
      <c r="T56" s="22">
        <v>519227</v>
      </c>
      <c r="U56" s="22">
        <v>466465</v>
      </c>
      <c r="V56" s="22">
        <v>398056</v>
      </c>
      <c r="W56" s="22">
        <v>525837</v>
      </c>
      <c r="X56" s="22">
        <v>493695</v>
      </c>
      <c r="Y56" s="22">
        <v>467075</v>
      </c>
      <c r="Z56" s="22">
        <v>406460</v>
      </c>
      <c r="AA56" s="19">
        <f t="shared" si="3"/>
        <v>-0.12977573194883052</v>
      </c>
      <c r="AB56" s="19">
        <f t="shared" si="4"/>
        <v>2.111260727133879E-2</v>
      </c>
    </row>
    <row r="57" spans="1:28" x14ac:dyDescent="0.4">
      <c r="A57" s="21" t="s">
        <v>72</v>
      </c>
      <c r="B57" s="12" t="s">
        <v>54</v>
      </c>
      <c r="C57" s="12" t="s">
        <v>71</v>
      </c>
      <c r="D57" s="13" t="s">
        <v>73</v>
      </c>
      <c r="E57" s="22">
        <v>95736135</v>
      </c>
      <c r="F57" s="22">
        <v>81969213</v>
      </c>
      <c r="G57" s="22">
        <v>144328110</v>
      </c>
      <c r="H57" s="22">
        <v>173550216</v>
      </c>
      <c r="I57" s="22">
        <v>162541613</v>
      </c>
      <c r="J57" s="22">
        <v>151552832</v>
      </c>
      <c r="K57" s="22">
        <v>211417411</v>
      </c>
      <c r="L57" s="22">
        <v>285568510</v>
      </c>
      <c r="M57" s="22">
        <v>254044157</v>
      </c>
      <c r="N57" s="22">
        <v>300681167</v>
      </c>
      <c r="O57" s="22">
        <v>283656748</v>
      </c>
      <c r="P57" s="22">
        <v>335634469</v>
      </c>
      <c r="Q57" s="22">
        <v>344893592</v>
      </c>
      <c r="R57" s="22">
        <v>372638884</v>
      </c>
      <c r="S57" s="22">
        <v>291157636</v>
      </c>
      <c r="T57" s="22">
        <v>258957080</v>
      </c>
      <c r="U57" s="22">
        <v>214907798</v>
      </c>
      <c r="V57" s="22">
        <v>195802343</v>
      </c>
      <c r="W57" s="22">
        <v>175251145</v>
      </c>
      <c r="X57" s="22">
        <v>211358533</v>
      </c>
      <c r="Y57" s="22">
        <v>273109931</v>
      </c>
      <c r="Z57" s="22">
        <v>293457602</v>
      </c>
      <c r="AA57" s="19">
        <f t="shared" si="3"/>
        <v>7.4503592474636227E-2</v>
      </c>
      <c r="AB57" s="19">
        <f t="shared" si="4"/>
        <v>0.49874407784793462</v>
      </c>
    </row>
    <row r="58" spans="1:28" x14ac:dyDescent="0.4">
      <c r="A58" s="21" t="s">
        <v>74</v>
      </c>
      <c r="B58" s="12" t="s">
        <v>54</v>
      </c>
      <c r="C58" s="12" t="s">
        <v>75</v>
      </c>
      <c r="D58" s="13" t="s">
        <v>48</v>
      </c>
      <c r="E58" s="22"/>
      <c r="F58" s="22"/>
      <c r="G58" s="22"/>
      <c r="H58" s="22"/>
      <c r="I58" s="22"/>
      <c r="J58" s="22"/>
      <c r="K58" s="22"/>
      <c r="L58" s="22"/>
      <c r="M58" s="22">
        <v>401</v>
      </c>
      <c r="N58" s="22">
        <v>1524</v>
      </c>
      <c r="O58" s="22">
        <v>1533</v>
      </c>
      <c r="P58" s="22">
        <v>1605</v>
      </c>
      <c r="Q58" s="22">
        <v>1139</v>
      </c>
      <c r="R58" s="22">
        <v>692</v>
      </c>
      <c r="S58" s="22">
        <v>623</v>
      </c>
      <c r="T58" s="22">
        <v>811</v>
      </c>
      <c r="U58" s="22">
        <v>766</v>
      </c>
      <c r="V58" s="22">
        <v>811</v>
      </c>
      <c r="W58" s="22">
        <v>580</v>
      </c>
      <c r="X58" s="22">
        <v>1271</v>
      </c>
      <c r="Y58" s="22">
        <v>1432</v>
      </c>
      <c r="Z58" s="22">
        <v>1612</v>
      </c>
      <c r="AA58" s="19">
        <f t="shared" si="3"/>
        <v>0.12569832402234637</v>
      </c>
      <c r="AB58" s="19">
        <f t="shared" si="4"/>
        <v>0.98766954377311955</v>
      </c>
    </row>
    <row r="59" spans="1:28" x14ac:dyDescent="0.4">
      <c r="A59" s="21" t="s">
        <v>76</v>
      </c>
      <c r="B59" s="12" t="s">
        <v>77</v>
      </c>
      <c r="C59" s="12" t="s">
        <v>78</v>
      </c>
      <c r="D59" s="13" t="s">
        <v>45</v>
      </c>
      <c r="E59" s="22">
        <v>129621</v>
      </c>
      <c r="F59" s="22">
        <v>139998</v>
      </c>
      <c r="G59" s="22">
        <v>180857</v>
      </c>
      <c r="H59" s="22">
        <v>184216</v>
      </c>
      <c r="I59" s="22">
        <v>198262</v>
      </c>
      <c r="J59" s="22">
        <v>230330</v>
      </c>
      <c r="K59" s="22">
        <v>295287</v>
      </c>
      <c r="L59" s="22">
        <v>277793</v>
      </c>
      <c r="M59" s="22">
        <v>173785</v>
      </c>
      <c r="N59" s="22">
        <v>200862</v>
      </c>
      <c r="O59" s="22">
        <v>146369</v>
      </c>
      <c r="P59" s="22">
        <v>211030</v>
      </c>
      <c r="Q59" s="22">
        <v>298793</v>
      </c>
      <c r="R59" s="22">
        <v>337802</v>
      </c>
      <c r="S59" s="22">
        <v>588669</v>
      </c>
      <c r="T59" s="22">
        <v>480974</v>
      </c>
      <c r="U59" s="22">
        <v>452394</v>
      </c>
      <c r="V59" s="22">
        <v>454097</v>
      </c>
      <c r="W59" s="22">
        <v>288892</v>
      </c>
      <c r="X59" s="22">
        <v>264769</v>
      </c>
      <c r="Y59" s="22">
        <v>154055</v>
      </c>
      <c r="Z59" s="22">
        <v>504638</v>
      </c>
      <c r="AA59" s="19">
        <f t="shared" si="3"/>
        <v>2.2757002369283699</v>
      </c>
      <c r="AB59" s="19">
        <f t="shared" si="4"/>
        <v>0.11130000858847344</v>
      </c>
    </row>
    <row r="60" spans="1:28" x14ac:dyDescent="0.4">
      <c r="A60" s="21" t="s">
        <v>79</v>
      </c>
      <c r="B60" s="12" t="s">
        <v>54</v>
      </c>
      <c r="C60" s="12" t="s">
        <v>80</v>
      </c>
      <c r="D60" s="13" t="s">
        <v>48</v>
      </c>
      <c r="E60" s="22">
        <v>10</v>
      </c>
      <c r="F60" s="22">
        <v>635</v>
      </c>
      <c r="G60" s="22">
        <v>1291</v>
      </c>
      <c r="H60" s="22">
        <v>2073</v>
      </c>
      <c r="I60" s="22">
        <v>1304</v>
      </c>
      <c r="J60" s="22">
        <v>774</v>
      </c>
      <c r="K60" s="22">
        <v>1101</v>
      </c>
      <c r="L60" s="22">
        <v>600</v>
      </c>
      <c r="M60" s="22">
        <v>317</v>
      </c>
      <c r="N60" s="22">
        <v>791</v>
      </c>
      <c r="O60" s="22">
        <v>371</v>
      </c>
      <c r="P60" s="22">
        <v>1011</v>
      </c>
      <c r="Q60" s="22">
        <v>331</v>
      </c>
      <c r="R60" s="22">
        <v>723</v>
      </c>
      <c r="S60" s="22">
        <v>682</v>
      </c>
      <c r="T60" s="22">
        <v>776</v>
      </c>
      <c r="U60" s="22">
        <v>357</v>
      </c>
      <c r="V60" s="22">
        <v>792</v>
      </c>
      <c r="W60" s="22">
        <v>1283</v>
      </c>
      <c r="X60" s="22">
        <v>3110</v>
      </c>
      <c r="Y60" s="22">
        <v>2168</v>
      </c>
      <c r="Z60" s="22">
        <v>2374</v>
      </c>
      <c r="AA60" s="19">
        <f t="shared" si="3"/>
        <v>9.5018450184501946E-2</v>
      </c>
      <c r="AB60" s="19">
        <f t="shared" si="4"/>
        <v>1.9974747474747474</v>
      </c>
    </row>
    <row r="61" spans="1:28" x14ac:dyDescent="0.4">
      <c r="A61" s="21" t="s">
        <v>81</v>
      </c>
      <c r="B61" s="12" t="s">
        <v>54</v>
      </c>
      <c r="C61" s="12" t="s">
        <v>80</v>
      </c>
      <c r="D61" s="13" t="s">
        <v>82</v>
      </c>
      <c r="E61" s="22">
        <v>134060</v>
      </c>
      <c r="F61" s="22">
        <v>215532</v>
      </c>
      <c r="G61" s="22">
        <v>411028</v>
      </c>
      <c r="H61" s="22">
        <v>474808</v>
      </c>
      <c r="I61" s="22">
        <v>496519</v>
      </c>
      <c r="J61" s="22">
        <v>476061</v>
      </c>
      <c r="K61" s="22">
        <v>488600</v>
      </c>
      <c r="L61" s="22">
        <v>358042</v>
      </c>
      <c r="M61" s="22">
        <v>219180</v>
      </c>
      <c r="N61" s="22">
        <v>171970</v>
      </c>
      <c r="O61" s="22">
        <v>182626</v>
      </c>
      <c r="P61" s="22">
        <v>191079</v>
      </c>
      <c r="Q61" s="22">
        <v>159604</v>
      </c>
      <c r="R61" s="22">
        <v>273020</v>
      </c>
      <c r="S61" s="22">
        <v>140227</v>
      </c>
      <c r="T61" s="22">
        <v>130125</v>
      </c>
      <c r="U61" s="22">
        <v>136721</v>
      </c>
      <c r="V61" s="22">
        <v>118259</v>
      </c>
      <c r="W61" s="22">
        <v>191263</v>
      </c>
      <c r="X61" s="22">
        <v>261706</v>
      </c>
      <c r="Y61" s="22">
        <v>294564</v>
      </c>
      <c r="Z61" s="22">
        <v>330609</v>
      </c>
      <c r="AA61" s="19">
        <f t="shared" si="3"/>
        <v>0.12236729539251234</v>
      </c>
      <c r="AB61" s="19">
        <f t="shared" si="4"/>
        <v>1.7956350045239686</v>
      </c>
    </row>
    <row r="62" spans="1:28" x14ac:dyDescent="0.4">
      <c r="A62" s="21" t="s">
        <v>83</v>
      </c>
      <c r="B62" s="12" t="s">
        <v>54</v>
      </c>
      <c r="C62" s="12" t="s">
        <v>80</v>
      </c>
      <c r="D62" s="13" t="s">
        <v>45</v>
      </c>
      <c r="E62" s="22">
        <v>89362</v>
      </c>
      <c r="F62" s="22">
        <v>174373</v>
      </c>
      <c r="G62" s="22">
        <v>181180</v>
      </c>
      <c r="H62" s="22">
        <v>168713</v>
      </c>
      <c r="I62" s="22">
        <v>150982</v>
      </c>
      <c r="J62" s="22">
        <v>139893</v>
      </c>
      <c r="K62" s="22">
        <v>160992</v>
      </c>
      <c r="L62" s="22">
        <v>162840</v>
      </c>
      <c r="M62" s="22">
        <v>150346</v>
      </c>
      <c r="N62" s="22">
        <v>137663</v>
      </c>
      <c r="O62" s="22">
        <v>122560</v>
      </c>
      <c r="P62" s="22">
        <v>118640</v>
      </c>
      <c r="Q62" s="22">
        <v>118628</v>
      </c>
      <c r="R62" s="22">
        <v>108719</v>
      </c>
      <c r="S62" s="22">
        <v>133743</v>
      </c>
      <c r="T62" s="22">
        <v>121390</v>
      </c>
      <c r="U62" s="22">
        <v>120870</v>
      </c>
      <c r="V62" s="22">
        <v>139730</v>
      </c>
      <c r="W62" s="22">
        <v>159968</v>
      </c>
      <c r="X62" s="22">
        <v>114941</v>
      </c>
      <c r="Y62" s="22">
        <v>199155</v>
      </c>
      <c r="Z62" s="22">
        <v>157254</v>
      </c>
      <c r="AA62" s="19">
        <f t="shared" si="3"/>
        <v>-0.21039391428786625</v>
      </c>
      <c r="AB62" s="19">
        <f t="shared" si="4"/>
        <v>0.12541329707292626</v>
      </c>
    </row>
    <row r="63" spans="1:28" x14ac:dyDescent="0.4">
      <c r="A63" s="12" t="s">
        <v>84</v>
      </c>
      <c r="B63" s="12" t="s">
        <v>85</v>
      </c>
      <c r="C63" s="12" t="s">
        <v>86</v>
      </c>
      <c r="D63" s="13" t="s">
        <v>45</v>
      </c>
      <c r="E63" s="18"/>
      <c r="F63" s="18"/>
      <c r="G63" s="18">
        <v>26104</v>
      </c>
      <c r="H63" s="18">
        <v>83859</v>
      </c>
      <c r="I63" s="18">
        <v>98762</v>
      </c>
      <c r="J63" s="14">
        <v>112270</v>
      </c>
      <c r="K63" s="14">
        <v>161072</v>
      </c>
      <c r="L63" s="14">
        <v>179244</v>
      </c>
      <c r="M63" s="14">
        <v>197520</v>
      </c>
      <c r="N63" s="14">
        <v>200670</v>
      </c>
      <c r="O63" s="14">
        <v>223334</v>
      </c>
      <c r="P63" s="14">
        <v>220692</v>
      </c>
      <c r="Q63" s="14">
        <v>236408</v>
      </c>
      <c r="R63" s="14">
        <v>222618</v>
      </c>
      <c r="S63" s="14">
        <v>220131</v>
      </c>
      <c r="T63" s="14">
        <v>221900</v>
      </c>
      <c r="U63" s="14">
        <v>259266</v>
      </c>
      <c r="V63" s="14">
        <v>295719</v>
      </c>
      <c r="W63" s="14">
        <v>315496</v>
      </c>
      <c r="X63" s="14">
        <v>331893</v>
      </c>
      <c r="Y63" s="14">
        <v>357562</v>
      </c>
      <c r="Z63" s="14">
        <v>573743</v>
      </c>
      <c r="AA63" s="19">
        <f t="shared" si="3"/>
        <v>0.60459724467365095</v>
      </c>
      <c r="AB63" s="19">
        <f t="shared" si="4"/>
        <v>0.94016278967533373</v>
      </c>
    </row>
    <row r="64" spans="1:28" x14ac:dyDescent="0.4">
      <c r="A64" s="12" t="s">
        <v>87</v>
      </c>
      <c r="B64" s="12" t="s">
        <v>88</v>
      </c>
      <c r="C64" s="12" t="s">
        <v>89</v>
      </c>
      <c r="D64" s="13" t="s">
        <v>48</v>
      </c>
      <c r="E64" s="14">
        <v>8027</v>
      </c>
      <c r="F64" s="14">
        <v>10801</v>
      </c>
      <c r="G64" s="14">
        <v>11887</v>
      </c>
      <c r="H64" s="14">
        <v>13015</v>
      </c>
      <c r="I64" s="14">
        <v>11524</v>
      </c>
      <c r="J64" s="14">
        <v>13805</v>
      </c>
      <c r="K64" s="14">
        <v>18223</v>
      </c>
      <c r="L64" s="14">
        <v>23494</v>
      </c>
      <c r="M64" s="14">
        <v>21704</v>
      </c>
      <c r="N64" s="14">
        <v>24928</v>
      </c>
      <c r="O64" s="14">
        <v>24615</v>
      </c>
      <c r="P64" s="14">
        <v>28469</v>
      </c>
      <c r="Q64" s="14">
        <v>25472</v>
      </c>
      <c r="R64" s="14">
        <v>25854</v>
      </c>
      <c r="S64" s="14">
        <v>28063</v>
      </c>
      <c r="T64" s="14">
        <v>32428</v>
      </c>
      <c r="U64" s="14">
        <v>33842</v>
      </c>
      <c r="V64" s="14">
        <v>41138</v>
      </c>
      <c r="W64" s="14">
        <v>40139</v>
      </c>
      <c r="X64" s="14">
        <v>39881</v>
      </c>
      <c r="Y64" s="14">
        <v>41427</v>
      </c>
      <c r="Z64" s="14">
        <v>52430</v>
      </c>
      <c r="AA64" s="19">
        <f t="shared" si="3"/>
        <v>0.26559972964491751</v>
      </c>
      <c r="AB64" s="19">
        <f t="shared" si="4"/>
        <v>0.27449073848996064</v>
      </c>
    </row>
    <row r="65" spans="1:28" x14ac:dyDescent="0.4">
      <c r="A65" s="12" t="s">
        <v>2978</v>
      </c>
      <c r="B65" s="12" t="s">
        <v>88</v>
      </c>
      <c r="C65" s="12" t="s">
        <v>89</v>
      </c>
      <c r="D65" s="13" t="s">
        <v>48</v>
      </c>
      <c r="E65" s="14">
        <v>7626</v>
      </c>
      <c r="F65" s="14">
        <v>7270</v>
      </c>
      <c r="G65" s="14">
        <v>7012</v>
      </c>
      <c r="H65" s="14">
        <v>7875</v>
      </c>
      <c r="I65" s="14">
        <v>8729</v>
      </c>
      <c r="J65" s="14">
        <v>8620</v>
      </c>
      <c r="K65" s="14">
        <v>8618</v>
      </c>
      <c r="L65" s="14">
        <v>8726</v>
      </c>
      <c r="M65" s="14">
        <v>10220</v>
      </c>
      <c r="N65" s="14">
        <v>10486</v>
      </c>
      <c r="O65" s="14">
        <v>10705</v>
      </c>
      <c r="P65" s="14">
        <v>10544</v>
      </c>
      <c r="Q65" s="14">
        <v>11538</v>
      </c>
      <c r="R65" s="14">
        <v>12535</v>
      </c>
      <c r="S65" s="14">
        <v>12031</v>
      </c>
      <c r="T65" s="14">
        <v>11227</v>
      </c>
      <c r="U65" s="14">
        <v>12451</v>
      </c>
      <c r="V65" s="14">
        <v>14105</v>
      </c>
      <c r="W65" s="14">
        <v>15125</v>
      </c>
      <c r="X65" s="14">
        <v>14828</v>
      </c>
      <c r="Y65" s="14">
        <v>16711</v>
      </c>
      <c r="Z65" s="14">
        <v>20102</v>
      </c>
      <c r="AA65" s="19">
        <f t="shared" si="3"/>
        <v>0.20292023218239486</v>
      </c>
      <c r="AB65" s="19">
        <f t="shared" si="4"/>
        <v>0.42516838000708979</v>
      </c>
    </row>
    <row r="66" spans="1:28" x14ac:dyDescent="0.4">
      <c r="A66" s="12" t="s">
        <v>3012</v>
      </c>
      <c r="B66" s="12" t="s">
        <v>88</v>
      </c>
      <c r="C66" s="12" t="s">
        <v>89</v>
      </c>
      <c r="D66" s="13" t="s">
        <v>45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>
        <v>664639</v>
      </c>
      <c r="U66" s="14">
        <v>738986</v>
      </c>
      <c r="V66" s="14">
        <v>832541</v>
      </c>
      <c r="W66" s="14">
        <v>1045472</v>
      </c>
      <c r="X66" s="14">
        <v>1000608</v>
      </c>
      <c r="Y66" s="14">
        <v>1088898</v>
      </c>
      <c r="Z66" s="14">
        <v>1339020</v>
      </c>
      <c r="AA66" s="19">
        <f t="shared" si="3"/>
        <v>0.22970195555506567</v>
      </c>
      <c r="AB66" s="19">
        <f t="shared" si="4"/>
        <v>0.60835322224370936</v>
      </c>
    </row>
    <row r="67" spans="1:28" x14ac:dyDescent="0.4">
      <c r="A67" s="12" t="s">
        <v>3018</v>
      </c>
      <c r="B67" s="12" t="s">
        <v>88</v>
      </c>
      <c r="C67" s="12" t="s">
        <v>3019</v>
      </c>
      <c r="D67" s="13" t="s">
        <v>45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>
        <v>212169</v>
      </c>
      <c r="T67" s="14">
        <v>208069</v>
      </c>
      <c r="U67" s="14">
        <v>189745</v>
      </c>
      <c r="V67" s="14">
        <v>166251</v>
      </c>
      <c r="W67" s="14">
        <v>198690</v>
      </c>
      <c r="X67" s="14">
        <v>245057</v>
      </c>
      <c r="Y67" s="14">
        <v>230592</v>
      </c>
      <c r="Z67" s="14">
        <v>224108</v>
      </c>
      <c r="AA67" s="19">
        <f t="shared" si="3"/>
        <v>-2.8118928670552323E-2</v>
      </c>
      <c r="AB67" s="19">
        <f t="shared" si="4"/>
        <v>0.34800993678233505</v>
      </c>
    </row>
    <row r="68" spans="1:28" x14ac:dyDescent="0.4">
      <c r="A68" s="12" t="s">
        <v>90</v>
      </c>
      <c r="B68" s="12" t="s">
        <v>50</v>
      </c>
      <c r="C68" s="12" t="s">
        <v>50</v>
      </c>
      <c r="D68" s="13" t="s">
        <v>45</v>
      </c>
      <c r="E68" s="14">
        <v>8640475</v>
      </c>
      <c r="F68" s="18">
        <v>11085093</v>
      </c>
      <c r="G68" s="18">
        <v>15101372</v>
      </c>
      <c r="H68" s="18">
        <v>17183657</v>
      </c>
      <c r="I68" s="18">
        <v>18996965</v>
      </c>
      <c r="J68" s="14">
        <v>23014741</v>
      </c>
      <c r="K68" s="14">
        <v>24959853</v>
      </c>
      <c r="L68" s="14">
        <v>30732032</v>
      </c>
      <c r="M68" s="14">
        <v>27840901</v>
      </c>
      <c r="N68" s="14">
        <v>28228929</v>
      </c>
      <c r="O68" s="14">
        <v>27075676</v>
      </c>
      <c r="P68" s="14">
        <v>25833107</v>
      </c>
      <c r="Q68" s="14">
        <v>25657897</v>
      </c>
      <c r="R68" s="14">
        <v>27346967</v>
      </c>
      <c r="S68" s="20">
        <v>29334548</v>
      </c>
      <c r="T68" s="20">
        <v>27288811</v>
      </c>
      <c r="U68" s="14">
        <v>30431900</v>
      </c>
      <c r="V68" s="20">
        <v>31040184</v>
      </c>
      <c r="W68" s="20">
        <v>27489133</v>
      </c>
      <c r="X68" s="20">
        <v>28904399</v>
      </c>
      <c r="Y68" s="20">
        <v>34495064</v>
      </c>
      <c r="Z68" s="20">
        <v>35374442</v>
      </c>
      <c r="AA68" s="19">
        <f t="shared" si="3"/>
        <v>2.5492864718268171E-2</v>
      </c>
      <c r="AB68" s="19">
        <f t="shared" si="4"/>
        <v>0.13963377278949118</v>
      </c>
    </row>
    <row r="69" spans="1:28" x14ac:dyDescent="0.4">
      <c r="A69" s="12" t="s">
        <v>91</v>
      </c>
      <c r="B69" s="12" t="s">
        <v>50</v>
      </c>
      <c r="C69" s="12" t="s">
        <v>50</v>
      </c>
      <c r="D69" s="13" t="s">
        <v>48</v>
      </c>
      <c r="E69" s="12">
        <v>120118</v>
      </c>
      <c r="F69" s="12">
        <v>162194</v>
      </c>
      <c r="G69" s="18">
        <v>155045</v>
      </c>
      <c r="H69" s="18">
        <v>172225</v>
      </c>
      <c r="I69" s="18">
        <v>197486</v>
      </c>
      <c r="J69" s="14">
        <v>212890</v>
      </c>
      <c r="K69" s="14">
        <v>253368</v>
      </c>
      <c r="L69" s="14">
        <v>257462</v>
      </c>
      <c r="M69" s="14">
        <v>285599</v>
      </c>
      <c r="N69" s="14">
        <v>286434</v>
      </c>
      <c r="O69" s="14">
        <v>277394</v>
      </c>
      <c r="P69" s="14">
        <v>302582</v>
      </c>
      <c r="Q69" s="14">
        <v>284123</v>
      </c>
      <c r="R69" s="14">
        <v>332458</v>
      </c>
      <c r="S69" s="14">
        <v>333569</v>
      </c>
      <c r="T69" s="14">
        <v>314117</v>
      </c>
      <c r="U69" s="14">
        <v>315350</v>
      </c>
      <c r="V69" s="14">
        <v>323129</v>
      </c>
      <c r="W69" s="14">
        <v>257439</v>
      </c>
      <c r="X69" s="14">
        <v>267300</v>
      </c>
      <c r="Y69" s="14">
        <v>280305</v>
      </c>
      <c r="Z69" s="14">
        <v>295197</v>
      </c>
      <c r="AA69" s="19">
        <f t="shared" si="3"/>
        <v>5.3127842885428267E-2</v>
      </c>
      <c r="AB69" s="19">
        <f t="shared" si="4"/>
        <v>-8.6442256807652718E-2</v>
      </c>
    </row>
    <row r="70" spans="1:28" ht="12.75" customHeight="1" x14ac:dyDescent="0.4">
      <c r="A70" s="12" t="s">
        <v>92</v>
      </c>
      <c r="B70" s="12" t="s">
        <v>50</v>
      </c>
      <c r="C70" s="12" t="s">
        <v>50</v>
      </c>
      <c r="D70" s="13" t="s">
        <v>45</v>
      </c>
      <c r="E70" s="18">
        <v>12750626</v>
      </c>
      <c r="F70" s="18">
        <v>14815328</v>
      </c>
      <c r="G70" s="18">
        <v>18148691</v>
      </c>
      <c r="H70" s="18">
        <v>21683268</v>
      </c>
      <c r="I70" s="18">
        <v>21844007</v>
      </c>
      <c r="J70" s="14">
        <v>24262371</v>
      </c>
      <c r="K70" s="14">
        <v>28709977</v>
      </c>
      <c r="L70" s="14">
        <v>36018146</v>
      </c>
      <c r="M70" s="14">
        <v>33178183</v>
      </c>
      <c r="N70" s="14">
        <v>34613470</v>
      </c>
      <c r="O70" s="14">
        <v>36031774</v>
      </c>
      <c r="P70" s="14">
        <v>38704917</v>
      </c>
      <c r="Q70" s="14">
        <v>41460512</v>
      </c>
      <c r="R70" s="14">
        <v>45978622</v>
      </c>
      <c r="S70" s="14">
        <v>46328902</v>
      </c>
      <c r="T70" s="14">
        <v>43957480</v>
      </c>
      <c r="U70" s="14">
        <v>46931768</v>
      </c>
      <c r="V70" s="14">
        <v>49633635</v>
      </c>
      <c r="W70" s="14">
        <v>46344247</v>
      </c>
      <c r="X70" s="14">
        <v>45018051</v>
      </c>
      <c r="Y70" s="14">
        <v>56384472</v>
      </c>
      <c r="Z70" s="14">
        <v>62170777</v>
      </c>
      <c r="AA70" s="19">
        <f t="shared" si="3"/>
        <v>0.10262231417188761</v>
      </c>
      <c r="AB70" s="19">
        <f t="shared" si="4"/>
        <v>0.25259366959522511</v>
      </c>
    </row>
    <row r="71" spans="1:28" ht="12.75" customHeight="1" x14ac:dyDescent="0.4">
      <c r="A71" s="12" t="s">
        <v>93</v>
      </c>
      <c r="B71" s="12" t="s">
        <v>50</v>
      </c>
      <c r="C71" s="12" t="s">
        <v>50</v>
      </c>
      <c r="D71" s="13" t="s">
        <v>45</v>
      </c>
      <c r="E71" s="18">
        <v>22833518</v>
      </c>
      <c r="F71" s="18">
        <v>26608301</v>
      </c>
      <c r="G71" s="18">
        <v>32579461</v>
      </c>
      <c r="H71" s="18">
        <v>37713031</v>
      </c>
      <c r="I71" s="18">
        <v>37238274</v>
      </c>
      <c r="J71" s="14">
        <v>44662037</v>
      </c>
      <c r="K71" s="14">
        <v>52034015</v>
      </c>
      <c r="L71" s="14">
        <v>62520436</v>
      </c>
      <c r="M71" s="14">
        <v>56230639</v>
      </c>
      <c r="N71" s="20">
        <v>63432266</v>
      </c>
      <c r="O71" s="14">
        <v>64838499</v>
      </c>
      <c r="P71" s="14">
        <v>66893223</v>
      </c>
      <c r="Q71" s="14">
        <v>67281286</v>
      </c>
      <c r="R71" s="14">
        <v>77179596</v>
      </c>
      <c r="S71" s="14">
        <v>78510928</v>
      </c>
      <c r="T71" s="14">
        <v>77076074</v>
      </c>
      <c r="U71" s="14">
        <v>83508459</v>
      </c>
      <c r="V71" s="14">
        <v>84046817</v>
      </c>
      <c r="W71" s="14">
        <v>81442477</v>
      </c>
      <c r="X71" s="14">
        <v>79890507</v>
      </c>
      <c r="Y71" s="14">
        <v>82236880</v>
      </c>
      <c r="Z71" s="14">
        <v>89093027</v>
      </c>
      <c r="AA71" s="19">
        <f t="shared" si="3"/>
        <v>8.3370709102777329E-2</v>
      </c>
      <c r="AB71" s="19">
        <f t="shared" si="4"/>
        <v>6.0040465303998314E-2</v>
      </c>
    </row>
    <row r="72" spans="1:28" x14ac:dyDescent="0.4">
      <c r="A72" s="12" t="s">
        <v>3014</v>
      </c>
      <c r="B72" s="12" t="s">
        <v>88</v>
      </c>
      <c r="C72" s="12" t="s">
        <v>3013</v>
      </c>
      <c r="D72" s="13" t="s">
        <v>45</v>
      </c>
      <c r="E72" s="22"/>
      <c r="F72" s="22"/>
      <c r="G72" s="22"/>
      <c r="H72" s="22"/>
      <c r="I72" s="22"/>
      <c r="J72" s="22"/>
      <c r="K72" s="22">
        <v>151765</v>
      </c>
      <c r="L72" s="22">
        <v>121683</v>
      </c>
      <c r="M72" s="22">
        <v>103030</v>
      </c>
      <c r="N72" s="22">
        <v>74183</v>
      </c>
      <c r="O72" s="22">
        <v>41973</v>
      </c>
      <c r="P72" s="22">
        <v>101862</v>
      </c>
      <c r="Q72" s="22">
        <v>81120</v>
      </c>
      <c r="R72" s="22">
        <v>59518</v>
      </c>
      <c r="S72" s="22">
        <v>39297</v>
      </c>
      <c r="T72" s="22">
        <v>28941</v>
      </c>
      <c r="U72" s="14">
        <v>28312</v>
      </c>
      <c r="V72" s="14">
        <v>22063</v>
      </c>
      <c r="W72" s="14">
        <v>13697</v>
      </c>
      <c r="X72" s="14">
        <v>11118</v>
      </c>
      <c r="Y72" s="14">
        <v>108537</v>
      </c>
      <c r="Z72" s="14">
        <v>99347</v>
      </c>
      <c r="AA72" s="19">
        <f t="shared" si="3"/>
        <v>-8.4671586647871222E-2</v>
      </c>
      <c r="AB72" s="19">
        <f t="shared" si="4"/>
        <v>3.5028781217422837</v>
      </c>
    </row>
    <row r="73" spans="1:28" x14ac:dyDescent="0.4">
      <c r="A73" s="21" t="s">
        <v>94</v>
      </c>
      <c r="B73" s="12" t="s">
        <v>88</v>
      </c>
      <c r="C73" s="12" t="s">
        <v>95</v>
      </c>
      <c r="D73" s="13" t="s">
        <v>45</v>
      </c>
      <c r="E73" s="22"/>
      <c r="F73" s="22">
        <f>10269+9728+11835</f>
        <v>31832</v>
      </c>
      <c r="G73" s="22">
        <f>12352+11708+13539</f>
        <v>37599</v>
      </c>
      <c r="H73" s="22">
        <f>12643+11296+10935</f>
        <v>34874</v>
      </c>
      <c r="I73" s="22">
        <f>12763+12685+12603</f>
        <v>38051</v>
      </c>
      <c r="J73" s="22">
        <f>14770+14251+14969</f>
        <v>43990</v>
      </c>
      <c r="K73" s="22">
        <f>18985+17903+22092</f>
        <v>58980</v>
      </c>
      <c r="L73" s="22">
        <f>17474+14275+13679</f>
        <v>45428</v>
      </c>
      <c r="M73" s="22">
        <f>14763+16333+14160</f>
        <v>45256</v>
      </c>
      <c r="N73" s="22">
        <v>42705</v>
      </c>
      <c r="O73" s="22">
        <f>14712+14374+13070</f>
        <v>42156</v>
      </c>
      <c r="P73" s="22">
        <f>12642+13348+12776</f>
        <v>38766</v>
      </c>
      <c r="Q73" s="22">
        <f>13534+14953+10004</f>
        <v>38491</v>
      </c>
      <c r="R73" s="22">
        <v>41602</v>
      </c>
      <c r="S73" s="22">
        <f>12390+12601+16023</f>
        <v>41014</v>
      </c>
      <c r="T73" s="22">
        <f>14335+18595+15895</f>
        <v>48825</v>
      </c>
      <c r="U73" s="14">
        <f>16059+17507+16177</f>
        <v>49743</v>
      </c>
      <c r="V73" s="14">
        <f>18485+18692+14388</f>
        <v>51565</v>
      </c>
      <c r="W73" s="14">
        <f>17836+16531+16752</f>
        <v>51119</v>
      </c>
      <c r="X73" s="14">
        <f>15153+14708+13472</f>
        <v>43333</v>
      </c>
      <c r="Y73" s="14">
        <f>13316+12421+11970</f>
        <v>37707</v>
      </c>
      <c r="Z73" s="14">
        <v>56455</v>
      </c>
      <c r="AA73" s="19">
        <f t="shared" si="3"/>
        <v>0.49720211101387002</v>
      </c>
      <c r="AB73" s="19">
        <f t="shared" si="4"/>
        <v>9.4831765732570572E-2</v>
      </c>
    </row>
    <row r="74" spans="1:28" x14ac:dyDescent="0.4">
      <c r="A74" s="21" t="s">
        <v>96</v>
      </c>
      <c r="B74" s="12" t="s">
        <v>88</v>
      </c>
      <c r="C74" s="12" t="s">
        <v>97</v>
      </c>
      <c r="D74" s="13" t="s">
        <v>45</v>
      </c>
      <c r="E74" s="22">
        <v>33214</v>
      </c>
      <c r="F74" s="22">
        <v>48242</v>
      </c>
      <c r="G74" s="22">
        <v>68782</v>
      </c>
      <c r="H74" s="22">
        <v>84323</v>
      </c>
      <c r="I74" s="22">
        <v>98601</v>
      </c>
      <c r="J74" s="22">
        <v>128640</v>
      </c>
      <c r="K74" s="22">
        <v>125325</v>
      </c>
      <c r="L74" s="22">
        <v>130258</v>
      </c>
      <c r="M74" s="22">
        <v>121391</v>
      </c>
      <c r="N74" s="22">
        <v>153437</v>
      </c>
      <c r="O74" s="22">
        <v>151974</v>
      </c>
      <c r="P74" s="22">
        <v>140411</v>
      </c>
      <c r="Q74" s="22">
        <v>113483</v>
      </c>
      <c r="R74" s="22">
        <v>133417</v>
      </c>
      <c r="S74" s="22">
        <v>140581</v>
      </c>
      <c r="T74" s="22">
        <v>135972</v>
      </c>
      <c r="U74" s="14">
        <v>140451</v>
      </c>
      <c r="V74" s="14">
        <v>162389</v>
      </c>
      <c r="W74" s="14">
        <v>173638</v>
      </c>
      <c r="X74" s="14">
        <v>171935</v>
      </c>
      <c r="Y74" s="14">
        <v>173267</v>
      </c>
      <c r="Z74" s="14">
        <v>184145</v>
      </c>
      <c r="AA74" s="19">
        <f t="shared" si="3"/>
        <v>6.2781718388383201E-2</v>
      </c>
      <c r="AB74" s="19">
        <f t="shared" si="4"/>
        <v>0.13397459187506544</v>
      </c>
    </row>
    <row r="75" spans="1:28" x14ac:dyDescent="0.4">
      <c r="A75" s="21" t="s">
        <v>98</v>
      </c>
      <c r="B75" s="12" t="s">
        <v>88</v>
      </c>
      <c r="C75" s="12" t="s">
        <v>95</v>
      </c>
      <c r="D75" s="13" t="s">
        <v>68</v>
      </c>
      <c r="E75" s="22"/>
      <c r="F75" s="22">
        <f>6099340+10389722+10716554+2066468+1372326+2541998</f>
        <v>33186408</v>
      </c>
      <c r="G75" s="22">
        <f>7276441+8753218+14060016+2049400+2939363+3110299</f>
        <v>38188737</v>
      </c>
      <c r="H75" s="22">
        <f>17156899+13932876+17591970+3967969+3094899+3399189</f>
        <v>59143802</v>
      </c>
      <c r="I75" s="22">
        <f>18504117+13975520+10425523+3972723+2658989+2405702</f>
        <v>51942574</v>
      </c>
      <c r="J75" s="22">
        <f>31795674+26355661+13015801+2942154+2219390+3808767</f>
        <v>80137447</v>
      </c>
      <c r="K75" s="22">
        <f>31230951+19428583+20230461+3348652+3916301+2671538</f>
        <v>80826486</v>
      </c>
      <c r="L75" s="22">
        <f>16054678+12458219+13715949+3378090+2736096+3863167</f>
        <v>52206199</v>
      </c>
      <c r="M75" s="22">
        <f>21327654+14153182+19099888+3310549+3271062+3034804</f>
        <v>64197139</v>
      </c>
      <c r="N75" s="22">
        <f>60907282+8814844</f>
        <v>69722126</v>
      </c>
      <c r="O75" s="22">
        <f>20121264+13911552+21793136+2909502+3429860+3295392</f>
        <v>65460706</v>
      </c>
      <c r="P75" s="22">
        <f>13742485+15780512+11501497+2899112+2854616+2670385</f>
        <v>49448607</v>
      </c>
      <c r="Q75" s="22">
        <f>21546573+15644220+15020582+2875223+2978876+2882536</f>
        <v>60948010</v>
      </c>
      <c r="R75" s="22">
        <f>42676084+7982309</f>
        <v>50658393</v>
      </c>
      <c r="S75" s="22">
        <f>17160985+18225268+19304108+2574662+2863587+4131179</f>
        <v>64259789</v>
      </c>
      <c r="T75" s="22">
        <f>24197993+15509205+23679341+2362315+2438524+2163375</f>
        <v>70350753</v>
      </c>
      <c r="U75" s="14">
        <f>22496222+24141731+11792537+2684270+2520811+2411482</f>
        <v>66047053</v>
      </c>
      <c r="V75" s="14">
        <f>57912972+6950294</f>
        <v>64863266</v>
      </c>
      <c r="W75" s="14">
        <f>20006287+16758210+6591040+3305206+2195116+1653435</f>
        <v>50509294</v>
      </c>
      <c r="X75" s="14">
        <f>5482272+14434830+21499159+2763283+1938262+3717340</f>
        <v>49835146</v>
      </c>
      <c r="Y75" s="14">
        <f>11876829+19932248+13019097+1940111+3162460+2594896</f>
        <v>52525641</v>
      </c>
      <c r="Z75" s="14">
        <f>62569030+8382889</f>
        <v>70951919</v>
      </c>
      <c r="AA75" s="19">
        <f t="shared" si="3"/>
        <v>0.35080539045682468</v>
      </c>
      <c r="AB75" s="19">
        <f t="shared" si="4"/>
        <v>9.3869047543797768E-2</v>
      </c>
    </row>
    <row r="76" spans="1:28" x14ac:dyDescent="0.4">
      <c r="A76" s="21" t="s">
        <v>3007</v>
      </c>
      <c r="B76" s="12" t="s">
        <v>88</v>
      </c>
      <c r="C76" s="12" t="s">
        <v>3008</v>
      </c>
      <c r="D76" s="13" t="s">
        <v>68</v>
      </c>
      <c r="E76" s="22"/>
      <c r="F76" s="22">
        <v>244026263</v>
      </c>
      <c r="G76" s="22">
        <v>306812756</v>
      </c>
      <c r="H76" s="22">
        <v>317768215</v>
      </c>
      <c r="I76" s="22">
        <v>331162274</v>
      </c>
      <c r="J76" s="22">
        <v>309963199</v>
      </c>
      <c r="K76" s="22">
        <v>332579493</v>
      </c>
      <c r="L76" s="22">
        <v>337211731</v>
      </c>
      <c r="M76" s="22">
        <v>411263853</v>
      </c>
      <c r="N76" s="22">
        <v>416268699</v>
      </c>
      <c r="O76" s="22">
        <v>359999722</v>
      </c>
      <c r="P76" s="22">
        <v>399639393</v>
      </c>
      <c r="Q76" s="22">
        <v>350137817</v>
      </c>
      <c r="R76" s="22">
        <v>475623190</v>
      </c>
      <c r="S76" s="22">
        <v>625237699</v>
      </c>
      <c r="T76" s="22">
        <v>651955161</v>
      </c>
      <c r="U76" s="14">
        <v>819947484</v>
      </c>
      <c r="V76" s="14">
        <v>924005604</v>
      </c>
      <c r="W76" s="14">
        <v>786097793</v>
      </c>
      <c r="X76" s="14">
        <v>626102886</v>
      </c>
      <c r="Y76" s="14">
        <v>508627227</v>
      </c>
      <c r="Z76" s="14">
        <v>362796490</v>
      </c>
      <c r="AA76" s="19">
        <f t="shared" si="3"/>
        <v>-0.28671437402229349</v>
      </c>
      <c r="AB76" s="19">
        <f t="shared" si="4"/>
        <v>-0.60736548736342943</v>
      </c>
    </row>
    <row r="77" spans="1:28" x14ac:dyDescent="0.4">
      <c r="A77" s="21" t="s">
        <v>3119</v>
      </c>
      <c r="B77" s="12" t="s">
        <v>88</v>
      </c>
      <c r="C77" s="12" t="s">
        <v>3008</v>
      </c>
      <c r="D77" s="13" t="s">
        <v>3120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>
        <v>414832</v>
      </c>
      <c r="T77" s="22">
        <v>414832</v>
      </c>
      <c r="U77" s="14">
        <v>414238</v>
      </c>
      <c r="V77" s="14">
        <v>363824</v>
      </c>
      <c r="W77" s="14">
        <v>462326</v>
      </c>
      <c r="X77" s="14">
        <v>462326</v>
      </c>
      <c r="Y77" s="14">
        <v>698931</v>
      </c>
      <c r="Z77" s="14">
        <v>763419</v>
      </c>
      <c r="AA77" s="19">
        <f t="shared" si="3"/>
        <v>9.2266618593251692E-2</v>
      </c>
      <c r="AB77" s="19">
        <f t="shared" si="4"/>
        <v>1.0983195171291613</v>
      </c>
    </row>
    <row r="78" spans="1:28" x14ac:dyDescent="0.4">
      <c r="A78" s="21" t="s">
        <v>3117</v>
      </c>
      <c r="B78" s="12" t="s">
        <v>88</v>
      </c>
      <c r="C78" s="12" t="s">
        <v>3008</v>
      </c>
      <c r="D78" s="13" t="s">
        <v>3118</v>
      </c>
      <c r="E78" s="22"/>
      <c r="F78" s="22"/>
      <c r="G78" s="22"/>
      <c r="H78" s="22"/>
      <c r="I78" s="22"/>
      <c r="J78" s="22"/>
      <c r="K78" s="22"/>
      <c r="L78" s="22"/>
      <c r="M78" s="22"/>
      <c r="N78" s="22">
        <f>1522+13866+126890</f>
        <v>142278</v>
      </c>
      <c r="O78" s="22">
        <f>1482+21884+106134</f>
        <v>129500</v>
      </c>
      <c r="P78" s="22">
        <f>1436+15621+113853</f>
        <v>130910</v>
      </c>
      <c r="Q78" s="22">
        <f>1340+25462+98103</f>
        <v>124905</v>
      </c>
      <c r="R78" s="22">
        <f>1295+24373+100584</f>
        <v>126252</v>
      </c>
      <c r="S78" s="22">
        <f>1241+33039+176919</f>
        <v>211199</v>
      </c>
      <c r="T78" s="22">
        <f>1203+33802+158453</f>
        <v>193458</v>
      </c>
      <c r="U78" s="14">
        <f>1146+35736+138457</f>
        <v>175339</v>
      </c>
      <c r="V78" s="14">
        <f>1106+30364+166104</f>
        <v>197574</v>
      </c>
      <c r="W78" s="14">
        <f>1048+23971+142537</f>
        <v>167556</v>
      </c>
      <c r="X78" s="14">
        <v>132063</v>
      </c>
      <c r="Y78" s="14">
        <v>127915</v>
      </c>
      <c r="Z78" s="14">
        <v>137205</v>
      </c>
      <c r="AA78" s="19">
        <f t="shared" si="3"/>
        <v>7.2626353437829749E-2</v>
      </c>
      <c r="AB78" s="19">
        <f t="shared" si="4"/>
        <v>-0.30555133772662391</v>
      </c>
    </row>
    <row r="79" spans="1:28" x14ac:dyDescent="0.4">
      <c r="A79" s="21" t="s">
        <v>99</v>
      </c>
      <c r="B79" s="12" t="s">
        <v>100</v>
      </c>
      <c r="C79" s="12" t="s">
        <v>101</v>
      </c>
      <c r="D79" s="13" t="s">
        <v>45</v>
      </c>
      <c r="E79" s="22">
        <f>4470852+25427084+3470356</f>
        <v>33368292</v>
      </c>
      <c r="F79" s="22">
        <f>4409610+26613759+3338010</f>
        <v>34361379</v>
      </c>
      <c r="G79" s="22">
        <f>4131171+27750849+3256299</f>
        <v>35138319</v>
      </c>
      <c r="H79" s="22">
        <f>4276622+28074899+3091380</f>
        <v>35442901</v>
      </c>
      <c r="I79" s="22">
        <f>3847708+28737659+5636876</f>
        <v>38222243</v>
      </c>
      <c r="J79" s="14">
        <f>4251362+29947345+5662235</f>
        <v>39860942</v>
      </c>
      <c r="K79" s="14">
        <f>4218458+31176391+5770376</f>
        <v>41165225</v>
      </c>
      <c r="L79" s="14">
        <f>4327099+33214759+11142845</f>
        <v>48684703</v>
      </c>
      <c r="M79" s="14">
        <f>4562720+33873334+1909159</f>
        <v>40345213</v>
      </c>
      <c r="N79" s="14">
        <f>4558513+33293610+4802143</f>
        <v>42654266</v>
      </c>
      <c r="O79" s="14">
        <f>5349662+32640651+4710772</f>
        <v>42701085</v>
      </c>
      <c r="P79" s="14">
        <f>5323679+31437400+4657638</f>
        <v>41418717</v>
      </c>
      <c r="Q79" s="14">
        <f>5416413+30389434+4467617</f>
        <v>40273464</v>
      </c>
      <c r="R79" s="14">
        <f>5246705+29340737+5910444</f>
        <v>40497886</v>
      </c>
      <c r="S79" s="14">
        <f>4720054+28952469+6105522</f>
        <v>39778045</v>
      </c>
      <c r="T79" s="14">
        <f>4737174+29113747+5741290</f>
        <v>39592211</v>
      </c>
      <c r="U79" s="14">
        <f>5195203+31203671+5637090</f>
        <v>42035964</v>
      </c>
      <c r="V79" s="14">
        <f>40433715+23101955</f>
        <v>63535670</v>
      </c>
      <c r="W79" s="14">
        <f>40915432+21512946</f>
        <v>62428378</v>
      </c>
      <c r="X79" s="14">
        <f>42809047+21831335</f>
        <v>64640382</v>
      </c>
      <c r="Y79" s="14">
        <f>46472745+24087973</f>
        <v>70560718</v>
      </c>
      <c r="Z79" s="14">
        <f>47213188+24917431</f>
        <v>72130619</v>
      </c>
      <c r="AA79" s="19">
        <f t="shared" si="3"/>
        <v>2.2248937432864491E-2</v>
      </c>
      <c r="AB79" s="19">
        <f t="shared" si="4"/>
        <v>0.13527753779884599</v>
      </c>
    </row>
    <row r="80" spans="1:28" x14ac:dyDescent="0.4">
      <c r="A80" s="12" t="s">
        <v>102</v>
      </c>
      <c r="B80" s="12" t="s">
        <v>78</v>
      </c>
      <c r="C80" s="12" t="s">
        <v>103</v>
      </c>
      <c r="D80" s="13" t="s">
        <v>45</v>
      </c>
      <c r="E80" s="14">
        <f>7334+19990</f>
        <v>27324</v>
      </c>
      <c r="F80" s="14">
        <f>6445+14673</f>
        <v>21118</v>
      </c>
      <c r="G80" s="14">
        <f>4742+13307</f>
        <v>18049</v>
      </c>
      <c r="H80" s="14">
        <f>3159+10956</f>
        <v>14115</v>
      </c>
      <c r="I80" s="14">
        <f>2833+31754</f>
        <v>34587</v>
      </c>
      <c r="J80" s="14">
        <f>2932+30271</f>
        <v>33203</v>
      </c>
      <c r="K80" s="14">
        <f>2725+23455</f>
        <v>26180</v>
      </c>
      <c r="L80" s="14">
        <f>13276+17457</f>
        <v>30733</v>
      </c>
      <c r="M80" s="14">
        <f>9907+14794</f>
        <v>24701</v>
      </c>
      <c r="N80" s="14">
        <f>8252+14049</f>
        <v>22301</v>
      </c>
      <c r="O80" s="14">
        <f>2856+11711</f>
        <v>14567</v>
      </c>
      <c r="P80" s="14">
        <f>5082+10940</f>
        <v>16022</v>
      </c>
      <c r="Q80" s="14">
        <f>2983+5096</f>
        <v>8079</v>
      </c>
      <c r="R80" s="14">
        <f>2051+4798</f>
        <v>6849</v>
      </c>
      <c r="S80" s="14">
        <f>2051+4520</f>
        <v>6571</v>
      </c>
      <c r="T80" s="14">
        <v>4187</v>
      </c>
      <c r="U80" s="14">
        <v>3863</v>
      </c>
      <c r="V80" s="14">
        <v>3490</v>
      </c>
      <c r="W80" s="14">
        <f>6743+2303</f>
        <v>9046</v>
      </c>
      <c r="X80" s="14">
        <v>5130</v>
      </c>
      <c r="Y80" s="14">
        <v>0</v>
      </c>
      <c r="Z80" s="14" t="s">
        <v>3371</v>
      </c>
      <c r="AA80" s="19" t="e">
        <f t="shared" si="3"/>
        <v>#VALUE!</v>
      </c>
      <c r="AB80" s="19" t="e">
        <f t="shared" si="4"/>
        <v>#VALUE!</v>
      </c>
    </row>
    <row r="81" spans="1:28" x14ac:dyDescent="0.4">
      <c r="A81" s="12" t="s">
        <v>104</v>
      </c>
      <c r="B81" s="12" t="s">
        <v>43</v>
      </c>
      <c r="C81" s="12" t="s">
        <v>105</v>
      </c>
      <c r="D81" s="13" t="s">
        <v>45</v>
      </c>
      <c r="E81" s="18">
        <v>639254</v>
      </c>
      <c r="F81" s="18">
        <v>607622</v>
      </c>
      <c r="G81" s="18">
        <v>666697</v>
      </c>
      <c r="H81" s="18">
        <v>681248</v>
      </c>
      <c r="I81" s="18">
        <v>668573</v>
      </c>
      <c r="J81" s="14">
        <v>744872</v>
      </c>
      <c r="K81" s="14">
        <v>914215</v>
      </c>
      <c r="L81" s="14">
        <v>1071482</v>
      </c>
      <c r="M81" s="14">
        <v>964623</v>
      </c>
      <c r="N81" s="14">
        <v>1325754</v>
      </c>
      <c r="O81" s="14">
        <v>1269460</v>
      </c>
      <c r="P81" s="14">
        <v>1468772</v>
      </c>
      <c r="Q81" s="14">
        <v>1320587</v>
      </c>
      <c r="R81" s="14">
        <v>1288393</v>
      </c>
      <c r="S81" s="14">
        <v>1148381</v>
      </c>
      <c r="T81" s="14">
        <v>1089550</v>
      </c>
      <c r="U81" s="14">
        <v>991679</v>
      </c>
      <c r="V81" s="14">
        <v>973166</v>
      </c>
      <c r="W81" s="14">
        <v>843611</v>
      </c>
      <c r="X81" s="14">
        <v>766542</v>
      </c>
      <c r="Y81" s="14">
        <v>911850</v>
      </c>
      <c r="Z81" s="14">
        <v>965416</v>
      </c>
      <c r="AA81" s="19">
        <f t="shared" si="3"/>
        <v>5.8744311016066142E-2</v>
      </c>
      <c r="AB81" s="19">
        <f t="shared" si="4"/>
        <v>-7.9636978686061788E-3</v>
      </c>
    </row>
    <row r="82" spans="1:28" s="17" customFormat="1" hidden="1" x14ac:dyDescent="0.4">
      <c r="A82" s="12" t="s">
        <v>106</v>
      </c>
      <c r="B82" s="12" t="s">
        <v>107</v>
      </c>
      <c r="C82" s="12" t="s">
        <v>108</v>
      </c>
      <c r="D82" s="13" t="s">
        <v>109</v>
      </c>
      <c r="E82" s="14">
        <v>5819</v>
      </c>
      <c r="F82" s="14">
        <f>2376+7200</f>
        <v>9576</v>
      </c>
      <c r="G82" s="14">
        <f>3033+10298</f>
        <v>13331</v>
      </c>
      <c r="H82" s="14">
        <f>2410+11373</f>
        <v>13783</v>
      </c>
      <c r="I82" s="14">
        <f>3210+6673</f>
        <v>9883</v>
      </c>
      <c r="J82" s="14">
        <f>11648+4036</f>
        <v>15684</v>
      </c>
      <c r="K82" s="14">
        <f>2024+9918</f>
        <v>11942</v>
      </c>
      <c r="L82" s="14">
        <f>3495+13958</f>
        <v>17453</v>
      </c>
      <c r="M82" s="14">
        <f>3335+16086</f>
        <v>19421</v>
      </c>
      <c r="N82" s="14">
        <f>4269+24686</f>
        <v>28955</v>
      </c>
      <c r="O82" s="14">
        <f>4042+20700</f>
        <v>24742</v>
      </c>
      <c r="P82" s="14">
        <f>5977+11114</f>
        <v>17091</v>
      </c>
      <c r="Q82" s="14">
        <f>6897+21748</f>
        <v>28645</v>
      </c>
      <c r="R82" s="14">
        <f>6854+41196</f>
        <v>48050</v>
      </c>
      <c r="S82" s="14">
        <v>47244</v>
      </c>
      <c r="T82" s="14">
        <v>43972</v>
      </c>
      <c r="U82" s="14">
        <f>(10545983+43367196)/1000</f>
        <v>53913.178999999996</v>
      </c>
      <c r="V82" s="14">
        <f>(7679525+30639561)/1000</f>
        <v>38319.086000000003</v>
      </c>
      <c r="W82" s="14"/>
      <c r="X82" s="14"/>
      <c r="Y82" s="14"/>
      <c r="Z82" s="14"/>
      <c r="AA82" s="19" t="e">
        <f t="shared" si="3"/>
        <v>#DIV/0!</v>
      </c>
      <c r="AB82" s="19">
        <f t="shared" si="4"/>
        <v>-1</v>
      </c>
    </row>
    <row r="83" spans="1:28" x14ac:dyDescent="0.4">
      <c r="A83" s="12" t="s">
        <v>110</v>
      </c>
      <c r="B83" s="12" t="s">
        <v>111</v>
      </c>
      <c r="C83" s="12" t="s">
        <v>112</v>
      </c>
      <c r="D83" s="13" t="s">
        <v>48</v>
      </c>
      <c r="E83" s="14">
        <v>183674</v>
      </c>
      <c r="F83" s="14">
        <v>160705</v>
      </c>
      <c r="G83" s="14">
        <v>170044</v>
      </c>
      <c r="H83" s="14">
        <v>176898</v>
      </c>
      <c r="I83" s="14">
        <v>186561</v>
      </c>
      <c r="J83" s="14">
        <v>182630</v>
      </c>
      <c r="K83" s="14">
        <v>177751</v>
      </c>
      <c r="L83" s="14">
        <v>206637</v>
      </c>
      <c r="M83" s="14">
        <v>245961</v>
      </c>
      <c r="N83" s="14">
        <v>254123</v>
      </c>
      <c r="O83" s="14">
        <v>250199</v>
      </c>
      <c r="P83" s="14">
        <v>203732</v>
      </c>
      <c r="Q83" s="14">
        <v>217759</v>
      </c>
      <c r="R83" s="14">
        <v>212718</v>
      </c>
      <c r="S83" s="14">
        <v>232591</v>
      </c>
      <c r="T83" s="14">
        <v>224080</v>
      </c>
      <c r="U83" s="14">
        <v>246994</v>
      </c>
      <c r="V83" s="14">
        <v>242569</v>
      </c>
      <c r="W83" s="14">
        <v>266733</v>
      </c>
      <c r="X83" s="14">
        <v>262673</v>
      </c>
      <c r="Y83" s="14">
        <v>273437</v>
      </c>
      <c r="Z83" s="14">
        <v>265532</v>
      </c>
      <c r="AA83" s="19">
        <f t="shared" si="3"/>
        <v>-2.8909767149288501E-2</v>
      </c>
      <c r="AB83" s="19">
        <f t="shared" si="4"/>
        <v>9.4665847655718505E-2</v>
      </c>
    </row>
    <row r="84" spans="1:28" x14ac:dyDescent="0.4">
      <c r="A84" s="12" t="s">
        <v>3372</v>
      </c>
      <c r="B84" s="12" t="s">
        <v>111</v>
      </c>
      <c r="C84" s="12" t="s">
        <v>112</v>
      </c>
      <c r="D84" s="13" t="s">
        <v>48</v>
      </c>
      <c r="E84" s="14">
        <v>73033</v>
      </c>
      <c r="F84" s="14">
        <v>70373</v>
      </c>
      <c r="G84" s="14">
        <v>69084</v>
      </c>
      <c r="H84" s="14">
        <v>67566</v>
      </c>
      <c r="I84" s="14">
        <v>83073</v>
      </c>
      <c r="J84" s="14">
        <v>79212</v>
      </c>
      <c r="K84" s="14">
        <v>81119</v>
      </c>
      <c r="L84" s="14">
        <v>79556</v>
      </c>
      <c r="M84" s="14">
        <v>122651</v>
      </c>
      <c r="N84" s="14">
        <v>118216</v>
      </c>
      <c r="O84" s="14">
        <v>122132</v>
      </c>
      <c r="P84" s="14">
        <v>120641</v>
      </c>
      <c r="Q84" s="14">
        <v>195934</v>
      </c>
      <c r="R84" s="14">
        <v>192876</v>
      </c>
      <c r="S84" s="14">
        <v>190053</v>
      </c>
      <c r="T84" s="14">
        <v>183904</v>
      </c>
      <c r="U84" s="14">
        <v>200531</v>
      </c>
      <c r="V84" s="14">
        <v>228851</v>
      </c>
      <c r="W84" s="20">
        <v>234665</v>
      </c>
      <c r="X84" s="20">
        <v>234300</v>
      </c>
      <c r="Y84" s="20">
        <v>262526</v>
      </c>
      <c r="Z84" s="20">
        <v>253291</v>
      </c>
      <c r="AA84" s="19">
        <f t="shared" si="3"/>
        <v>-3.5177468136489365E-2</v>
      </c>
      <c r="AB84" s="19">
        <f t="shared" si="4"/>
        <v>0.10679437712747597</v>
      </c>
    </row>
    <row r="85" spans="1:28" x14ac:dyDescent="0.4">
      <c r="A85" s="12" t="s">
        <v>113</v>
      </c>
      <c r="B85" s="12" t="s">
        <v>111</v>
      </c>
      <c r="C85" s="12" t="s">
        <v>112</v>
      </c>
      <c r="D85" s="13" t="s">
        <v>45</v>
      </c>
      <c r="E85" s="18">
        <v>32905485</v>
      </c>
      <c r="F85" s="18">
        <v>32305979</v>
      </c>
      <c r="G85" s="18">
        <v>31869580</v>
      </c>
      <c r="H85" s="18">
        <v>31897729</v>
      </c>
      <c r="I85" s="18">
        <v>35656587</v>
      </c>
      <c r="J85" s="14">
        <v>38570234</v>
      </c>
      <c r="K85" s="14">
        <v>38394620</v>
      </c>
      <c r="L85" s="14">
        <v>41464590</v>
      </c>
      <c r="M85" s="14">
        <v>52658627</v>
      </c>
      <c r="N85" s="14">
        <v>52390289</v>
      </c>
      <c r="O85" s="14">
        <v>52372867</v>
      </c>
      <c r="P85" s="14">
        <v>53327634</v>
      </c>
      <c r="Q85" s="14">
        <v>64288938</v>
      </c>
      <c r="R85" s="14">
        <v>66123433</v>
      </c>
      <c r="S85" s="14">
        <v>67730712</v>
      </c>
      <c r="T85" s="14">
        <v>68218801</v>
      </c>
      <c r="U85" s="14">
        <v>103415434</v>
      </c>
      <c r="V85" s="14">
        <v>104081142</v>
      </c>
      <c r="W85" s="14">
        <v>101651753</v>
      </c>
      <c r="X85" s="14">
        <v>103120796</v>
      </c>
      <c r="Y85" s="14">
        <v>116800729</v>
      </c>
      <c r="Z85" s="14">
        <v>118127410</v>
      </c>
      <c r="AA85" s="19">
        <f t="shared" si="3"/>
        <v>1.1358499312106085E-2</v>
      </c>
      <c r="AB85" s="19">
        <f t="shared" si="4"/>
        <v>0.13495497580147608</v>
      </c>
    </row>
    <row r="86" spans="1:28" x14ac:dyDescent="0.4">
      <c r="A86" s="12" t="s">
        <v>114</v>
      </c>
      <c r="B86" s="12" t="s">
        <v>111</v>
      </c>
      <c r="C86" s="12" t="s">
        <v>112</v>
      </c>
      <c r="D86" s="13" t="s">
        <v>45</v>
      </c>
      <c r="E86" s="18">
        <v>4364292</v>
      </c>
      <c r="F86" s="18">
        <v>4095766</v>
      </c>
      <c r="G86" s="18">
        <v>4001464</v>
      </c>
      <c r="H86" s="18">
        <v>4008392</v>
      </c>
      <c r="I86" s="18">
        <v>5822934</v>
      </c>
      <c r="J86" s="14">
        <v>5917168</v>
      </c>
      <c r="K86" s="14">
        <v>5838924</v>
      </c>
      <c r="L86" s="14">
        <v>5650390</v>
      </c>
      <c r="M86" s="14">
        <v>5986948</v>
      </c>
      <c r="N86" s="14">
        <v>5939610</v>
      </c>
      <c r="O86" s="14">
        <v>5806708</v>
      </c>
      <c r="P86" s="14">
        <v>5977573</v>
      </c>
      <c r="Q86" s="14">
        <v>7290782</v>
      </c>
      <c r="R86" s="14">
        <v>7049779</v>
      </c>
      <c r="S86" s="14">
        <v>6967870</v>
      </c>
      <c r="T86" s="14">
        <v>7923594</v>
      </c>
      <c r="U86" s="14">
        <v>10557886</v>
      </c>
      <c r="V86" s="14">
        <v>10498985</v>
      </c>
      <c r="W86" s="14">
        <v>10362144</v>
      </c>
      <c r="X86" s="14">
        <v>11175820</v>
      </c>
      <c r="Y86" s="14">
        <v>12216300</v>
      </c>
      <c r="Z86" s="14">
        <v>12196397</v>
      </c>
      <c r="AA86" s="19">
        <f t="shared" si="3"/>
        <v>-1.6292167022747828E-3</v>
      </c>
      <c r="AB86" s="19">
        <f t="shared" si="4"/>
        <v>0.16167391419265775</v>
      </c>
    </row>
    <row r="87" spans="1:28" x14ac:dyDescent="0.4">
      <c r="A87" s="12" t="s">
        <v>115</v>
      </c>
      <c r="B87" s="12" t="s">
        <v>43</v>
      </c>
      <c r="C87" s="12" t="s">
        <v>116</v>
      </c>
      <c r="D87" s="13" t="s">
        <v>3283</v>
      </c>
      <c r="E87" s="18"/>
      <c r="F87" s="18"/>
      <c r="G87" s="18"/>
      <c r="H87" s="18"/>
      <c r="I87" s="18"/>
      <c r="J87" s="14"/>
      <c r="K87" s="14">
        <v>95229</v>
      </c>
      <c r="L87" s="14">
        <v>144653</v>
      </c>
      <c r="M87" s="14">
        <v>130890</v>
      </c>
      <c r="N87" s="14">
        <v>143139</v>
      </c>
      <c r="O87" s="14">
        <v>166043</v>
      </c>
      <c r="P87" s="14">
        <v>181694</v>
      </c>
      <c r="Q87" s="14">
        <v>175003</v>
      </c>
      <c r="R87" s="14">
        <v>185887</v>
      </c>
      <c r="S87" s="14">
        <v>189915</v>
      </c>
      <c r="T87" s="14">
        <v>189933</v>
      </c>
      <c r="U87" s="14">
        <v>187578</v>
      </c>
      <c r="V87" s="14">
        <v>211187</v>
      </c>
      <c r="W87" s="14">
        <v>216368</v>
      </c>
      <c r="X87" s="14">
        <v>296088</v>
      </c>
      <c r="Y87" s="14">
        <v>297735</v>
      </c>
      <c r="Z87" s="14">
        <v>298181</v>
      </c>
      <c r="AA87" s="19">
        <f t="shared" si="3"/>
        <v>1.4979763883991026E-3</v>
      </c>
      <c r="AB87" s="19">
        <f t="shared" si="4"/>
        <v>0.41192876455463634</v>
      </c>
    </row>
    <row r="88" spans="1:28" x14ac:dyDescent="0.4">
      <c r="A88" s="188" t="s">
        <v>117</v>
      </c>
      <c r="B88" s="12" t="s">
        <v>54</v>
      </c>
      <c r="C88" s="12" t="s">
        <v>118</v>
      </c>
      <c r="D88" s="13" t="s">
        <v>68</v>
      </c>
      <c r="E88" s="14">
        <v>40910018</v>
      </c>
      <c r="F88" s="14">
        <v>73819134</v>
      </c>
      <c r="G88" s="14">
        <v>60868899</v>
      </c>
      <c r="H88" s="14">
        <v>192714407</v>
      </c>
      <c r="I88" s="14">
        <v>169297775</v>
      </c>
      <c r="J88" s="14">
        <v>219638563</v>
      </c>
      <c r="K88" s="14">
        <v>216120800</v>
      </c>
      <c r="L88" s="14">
        <v>239876631</v>
      </c>
      <c r="M88" s="14">
        <v>194013626</v>
      </c>
      <c r="N88" s="14">
        <v>89643678</v>
      </c>
      <c r="O88" s="14">
        <v>148404034</v>
      </c>
      <c r="P88" s="20">
        <v>106459914</v>
      </c>
      <c r="Q88" s="20">
        <v>60755874</v>
      </c>
      <c r="R88" s="20">
        <v>153900454</v>
      </c>
      <c r="S88" s="20">
        <v>128939783</v>
      </c>
      <c r="T88" s="20">
        <v>132351507</v>
      </c>
      <c r="U88" s="14">
        <v>168988142</v>
      </c>
      <c r="V88" s="14">
        <v>111894460</v>
      </c>
      <c r="W88" s="14">
        <v>126618744</v>
      </c>
      <c r="X88" s="14">
        <v>48838462</v>
      </c>
      <c r="Y88" s="14">
        <v>61414528</v>
      </c>
      <c r="Z88" s="14">
        <v>85765070</v>
      </c>
      <c r="AA88" s="19">
        <f t="shared" si="3"/>
        <v>0.39649481634052441</v>
      </c>
      <c r="AB88" s="19">
        <f t="shared" si="4"/>
        <v>-0.23351817417949017</v>
      </c>
    </row>
    <row r="89" spans="1:28" x14ac:dyDescent="0.4">
      <c r="A89" s="21" t="s">
        <v>119</v>
      </c>
      <c r="B89" s="12" t="s">
        <v>85</v>
      </c>
      <c r="C89" s="12" t="s">
        <v>120</v>
      </c>
      <c r="D89" s="13" t="s">
        <v>48</v>
      </c>
      <c r="E89" s="22">
        <v>1270</v>
      </c>
      <c r="F89" s="22">
        <v>1197</v>
      </c>
      <c r="G89" s="22">
        <v>1494</v>
      </c>
      <c r="H89" s="22">
        <v>2223</v>
      </c>
      <c r="I89" s="22">
        <v>2163</v>
      </c>
      <c r="J89" s="14">
        <v>3472</v>
      </c>
      <c r="K89" s="14">
        <v>4128</v>
      </c>
      <c r="L89" s="14">
        <v>4547</v>
      </c>
      <c r="M89" s="14">
        <v>4333</v>
      </c>
      <c r="N89" s="14">
        <v>5041</v>
      </c>
      <c r="O89" s="14">
        <v>6580</v>
      </c>
      <c r="P89" s="14">
        <v>7740</v>
      </c>
      <c r="Q89" s="14">
        <v>6008</v>
      </c>
      <c r="R89" s="14">
        <v>6025</v>
      </c>
      <c r="S89" s="14">
        <v>6224</v>
      </c>
      <c r="T89" s="14">
        <v>6125</v>
      </c>
      <c r="U89" s="14">
        <v>5470</v>
      </c>
      <c r="V89" s="14">
        <v>4127</v>
      </c>
      <c r="W89" s="14">
        <v>3339</v>
      </c>
      <c r="X89" s="14">
        <v>3047</v>
      </c>
      <c r="Y89" s="14">
        <v>2609</v>
      </c>
      <c r="Z89" s="14">
        <v>2639</v>
      </c>
      <c r="AA89" s="19">
        <f t="shared" si="3"/>
        <v>1.1498658489842883E-2</v>
      </c>
      <c r="AB89" s="19">
        <f t="shared" si="4"/>
        <v>-0.36055245941361769</v>
      </c>
    </row>
    <row r="90" spans="1:28" x14ac:dyDescent="0.4">
      <c r="A90" s="12" t="s">
        <v>121</v>
      </c>
      <c r="B90" s="12" t="s">
        <v>122</v>
      </c>
      <c r="C90" s="12" t="s">
        <v>123</v>
      </c>
      <c r="D90" s="13" t="s">
        <v>45</v>
      </c>
      <c r="E90" s="22"/>
      <c r="F90" s="22"/>
      <c r="G90" s="22"/>
      <c r="H90" s="22"/>
      <c r="I90" s="22">
        <v>5668</v>
      </c>
      <c r="J90" s="14">
        <v>4840</v>
      </c>
      <c r="K90" s="14">
        <v>2387</v>
      </c>
      <c r="L90" s="14">
        <v>8461</v>
      </c>
      <c r="M90" s="14">
        <v>13609</v>
      </c>
      <c r="N90" s="14">
        <v>19609</v>
      </c>
      <c r="O90" s="14">
        <v>13529</v>
      </c>
      <c r="P90" s="14">
        <v>8416</v>
      </c>
      <c r="Q90" s="14">
        <v>14102</v>
      </c>
      <c r="R90" s="14">
        <v>8966</v>
      </c>
      <c r="S90" s="14">
        <v>4614</v>
      </c>
      <c r="T90" s="14">
        <v>3665</v>
      </c>
      <c r="U90" s="14">
        <v>5995</v>
      </c>
      <c r="V90" s="14">
        <v>5990</v>
      </c>
      <c r="W90" s="14">
        <v>5992</v>
      </c>
      <c r="X90" s="14">
        <v>6155</v>
      </c>
      <c r="Y90" s="14">
        <v>7872</v>
      </c>
      <c r="Z90" s="14">
        <v>7866</v>
      </c>
      <c r="AA90" s="19">
        <f t="shared" si="3"/>
        <v>-7.6219512195119243E-4</v>
      </c>
      <c r="AB90" s="19">
        <f t="shared" si="4"/>
        <v>0.31318864774624378</v>
      </c>
    </row>
    <row r="91" spans="1:28" x14ac:dyDescent="0.4">
      <c r="A91" s="12" t="s">
        <v>124</v>
      </c>
      <c r="B91" s="12" t="s">
        <v>60</v>
      </c>
      <c r="C91" s="12" t="s">
        <v>125</v>
      </c>
      <c r="D91" s="13" t="s">
        <v>45</v>
      </c>
      <c r="E91" s="22"/>
      <c r="F91" s="22"/>
      <c r="G91" s="22">
        <v>52270</v>
      </c>
      <c r="H91" s="22">
        <v>17489</v>
      </c>
      <c r="I91" s="22">
        <v>23729</v>
      </c>
      <c r="J91" s="14">
        <v>86559</v>
      </c>
      <c r="K91" s="14">
        <v>26069</v>
      </c>
      <c r="L91" s="14">
        <v>22161</v>
      </c>
      <c r="M91" s="14">
        <v>96160</v>
      </c>
      <c r="N91" s="14">
        <v>103143</v>
      </c>
      <c r="O91" s="14">
        <v>79376</v>
      </c>
      <c r="P91" s="14">
        <v>53957</v>
      </c>
      <c r="Q91" s="14">
        <v>46678</v>
      </c>
      <c r="R91" s="14">
        <v>49373</v>
      </c>
      <c r="S91" s="14">
        <v>61937</v>
      </c>
      <c r="T91" s="14">
        <v>42830</v>
      </c>
      <c r="U91" s="14">
        <v>42175</v>
      </c>
      <c r="V91" s="14">
        <v>18885</v>
      </c>
      <c r="W91" s="14">
        <f>7662+13601</f>
        <v>21263</v>
      </c>
      <c r="X91" s="14">
        <v>17958</v>
      </c>
      <c r="Y91" s="14">
        <v>14009</v>
      </c>
      <c r="Z91" s="14">
        <v>44813</v>
      </c>
      <c r="AA91" s="19">
        <f t="shared" si="3"/>
        <v>2.1988721536155329</v>
      </c>
      <c r="AB91" s="19">
        <f t="shared" si="4"/>
        <v>1.3729414879534021</v>
      </c>
    </row>
    <row r="92" spans="1:28" x14ac:dyDescent="0.4">
      <c r="A92" s="12" t="s">
        <v>126</v>
      </c>
      <c r="B92" s="12" t="s">
        <v>43</v>
      </c>
      <c r="C92" s="12" t="s">
        <v>127</v>
      </c>
      <c r="D92" s="13" t="s">
        <v>45</v>
      </c>
      <c r="E92" s="12">
        <v>1405095</v>
      </c>
      <c r="F92" s="12">
        <v>1456880</v>
      </c>
      <c r="G92" s="12">
        <v>1550699</v>
      </c>
      <c r="H92" s="12">
        <v>1521275</v>
      </c>
      <c r="I92" s="23">
        <v>1550497</v>
      </c>
      <c r="J92" s="14">
        <v>1477767</v>
      </c>
      <c r="K92" s="14">
        <v>1914764</v>
      </c>
      <c r="L92" s="14">
        <v>2093443</v>
      </c>
      <c r="M92" s="14">
        <v>1834607</v>
      </c>
      <c r="N92" s="14">
        <v>1929902</v>
      </c>
      <c r="O92" s="14">
        <v>2426100</v>
      </c>
      <c r="P92" s="14">
        <v>2035403</v>
      </c>
      <c r="Q92" s="14">
        <v>1949105</v>
      </c>
      <c r="R92" s="14">
        <v>2188665</v>
      </c>
      <c r="S92" s="14">
        <v>2259829</v>
      </c>
      <c r="T92" s="14">
        <v>2056010</v>
      </c>
      <c r="U92" s="14">
        <v>1868214</v>
      </c>
      <c r="V92" s="14">
        <v>1882197</v>
      </c>
      <c r="W92" s="14">
        <v>2096503</v>
      </c>
      <c r="X92" s="14">
        <v>2058310</v>
      </c>
      <c r="Y92" s="14">
        <v>2090815</v>
      </c>
      <c r="Z92" s="14">
        <v>2240777</v>
      </c>
      <c r="AA92" s="19">
        <f t="shared" si="3"/>
        <v>7.1724184110024014E-2</v>
      </c>
      <c r="AB92" s="19">
        <f t="shared" si="4"/>
        <v>0.19051140767942987</v>
      </c>
    </row>
    <row r="93" spans="1:28" x14ac:dyDescent="0.4">
      <c r="A93" s="12" t="s">
        <v>128</v>
      </c>
      <c r="B93" s="12" t="s">
        <v>100</v>
      </c>
      <c r="C93" s="12" t="s">
        <v>101</v>
      </c>
      <c r="D93" s="13" t="s">
        <v>45</v>
      </c>
      <c r="E93" s="12"/>
      <c r="F93" s="18">
        <v>15327106</v>
      </c>
      <c r="G93" s="18">
        <v>14633658</v>
      </c>
      <c r="H93" s="18">
        <v>13311580</v>
      </c>
      <c r="I93" s="18">
        <v>17829774</v>
      </c>
      <c r="J93" s="14">
        <v>17186267</v>
      </c>
      <c r="K93" s="14">
        <v>17888964</v>
      </c>
      <c r="L93" s="14">
        <v>19456827</v>
      </c>
      <c r="M93" s="14">
        <v>18626163</v>
      </c>
      <c r="N93" s="14">
        <v>20899425</v>
      </c>
      <c r="O93" s="14">
        <v>19711485</v>
      </c>
      <c r="P93" s="14">
        <v>22461578</v>
      </c>
      <c r="Q93" s="14">
        <v>21491514</v>
      </c>
      <c r="R93" s="14">
        <v>21748252</v>
      </c>
      <c r="S93" s="14">
        <v>21553212</v>
      </c>
      <c r="T93" s="14">
        <v>21322311</v>
      </c>
      <c r="U93" s="14">
        <v>21872078</v>
      </c>
      <c r="V93" s="14">
        <v>21652989</v>
      </c>
      <c r="W93" s="14">
        <v>20621363</v>
      </c>
      <c r="X93" s="14">
        <v>20570366</v>
      </c>
      <c r="Y93" s="14">
        <f>124148+22436982</f>
        <v>22561130</v>
      </c>
      <c r="Z93" s="14">
        <v>22225195</v>
      </c>
      <c r="AA93" s="19">
        <f t="shared" si="3"/>
        <v>-1.4889989996068498E-2</v>
      </c>
      <c r="AB93" s="19">
        <f t="shared" si="4"/>
        <v>2.642618993617929E-2</v>
      </c>
    </row>
    <row r="94" spans="1:28" ht="12.75" customHeight="1" x14ac:dyDescent="0.4">
      <c r="A94" s="12" t="s">
        <v>129</v>
      </c>
      <c r="B94" s="12" t="s">
        <v>54</v>
      </c>
      <c r="C94" s="12" t="s">
        <v>130</v>
      </c>
      <c r="D94" s="13" t="s">
        <v>45</v>
      </c>
      <c r="E94" s="14">
        <v>22808</v>
      </c>
      <c r="F94" s="14">
        <v>44375</v>
      </c>
      <c r="G94" s="14">
        <v>44133</v>
      </c>
      <c r="H94" s="14">
        <v>50566</v>
      </c>
      <c r="I94" s="14">
        <v>52617</v>
      </c>
      <c r="J94" s="14">
        <v>60598</v>
      </c>
      <c r="K94" s="14">
        <v>67320</v>
      </c>
      <c r="L94" s="14">
        <v>72355</v>
      </c>
      <c r="M94" s="14">
        <v>53259</v>
      </c>
      <c r="N94" s="14">
        <v>51435</v>
      </c>
      <c r="O94" s="14">
        <v>79718</v>
      </c>
      <c r="P94" s="14">
        <v>77177</v>
      </c>
      <c r="Q94" s="14">
        <v>87839</v>
      </c>
      <c r="R94" s="14">
        <v>75667</v>
      </c>
      <c r="S94" s="14">
        <v>81032</v>
      </c>
      <c r="T94" s="14">
        <v>81588</v>
      </c>
      <c r="U94" s="14">
        <v>74383</v>
      </c>
      <c r="V94" s="14">
        <v>71700</v>
      </c>
      <c r="W94" s="14">
        <v>70421</v>
      </c>
      <c r="X94" s="14">
        <v>81504</v>
      </c>
      <c r="Y94" s="14">
        <v>50751</v>
      </c>
      <c r="Z94" s="14">
        <v>60964</v>
      </c>
      <c r="AA94" s="19">
        <f t="shared" si="3"/>
        <v>0.20123741404110262</v>
      </c>
      <c r="AB94" s="19">
        <f t="shared" si="4"/>
        <v>-0.14973500697350073</v>
      </c>
    </row>
    <row r="95" spans="1:28" x14ac:dyDescent="0.4">
      <c r="A95" s="12" t="s">
        <v>131</v>
      </c>
      <c r="B95" s="12" t="s">
        <v>88</v>
      </c>
      <c r="C95" s="12" t="s">
        <v>132</v>
      </c>
      <c r="D95" s="13" t="s">
        <v>45</v>
      </c>
      <c r="E95" s="14">
        <v>158792</v>
      </c>
      <c r="F95" s="14">
        <v>163779</v>
      </c>
      <c r="G95" s="14">
        <v>172878</v>
      </c>
      <c r="H95" s="14">
        <v>139913</v>
      </c>
      <c r="I95" s="14">
        <v>125845</v>
      </c>
      <c r="J95" s="14">
        <v>144660</v>
      </c>
      <c r="K95" s="14">
        <v>161262</v>
      </c>
      <c r="L95" s="14">
        <v>170703</v>
      </c>
      <c r="M95" s="14">
        <v>183926</v>
      </c>
      <c r="N95" s="14">
        <v>221237</v>
      </c>
      <c r="O95" s="14">
        <v>240595</v>
      </c>
      <c r="P95" s="14">
        <v>242606</v>
      </c>
      <c r="Q95" s="14">
        <v>252904</v>
      </c>
      <c r="R95" s="14">
        <v>251045</v>
      </c>
      <c r="S95" s="14">
        <v>256307</v>
      </c>
      <c r="T95" s="14">
        <v>269650</v>
      </c>
      <c r="U95" s="14">
        <v>280181</v>
      </c>
      <c r="V95" s="14">
        <v>293773</v>
      </c>
      <c r="W95" s="14">
        <v>281022</v>
      </c>
      <c r="X95" s="14">
        <v>295821</v>
      </c>
      <c r="Y95" s="14">
        <v>298775</v>
      </c>
      <c r="Z95" s="14">
        <v>328513</v>
      </c>
      <c r="AA95" s="19">
        <f t="shared" si="3"/>
        <v>9.953309346498207E-2</v>
      </c>
      <c r="AB95" s="19">
        <f t="shared" si="4"/>
        <v>0.11825457070595324</v>
      </c>
    </row>
    <row r="96" spans="1:28" x14ac:dyDescent="0.4">
      <c r="A96" s="12" t="s">
        <v>133</v>
      </c>
      <c r="B96" s="12" t="s">
        <v>57</v>
      </c>
      <c r="C96" s="12" t="s">
        <v>134</v>
      </c>
      <c r="D96" s="13" t="s">
        <v>68</v>
      </c>
      <c r="E96" s="18">
        <v>40519797</v>
      </c>
      <c r="F96" s="18">
        <v>36375280</v>
      </c>
      <c r="G96" s="18">
        <v>36353087</v>
      </c>
      <c r="H96" s="18">
        <v>49644164</v>
      </c>
      <c r="I96" s="18">
        <v>43023215</v>
      </c>
      <c r="J96" s="14">
        <v>51737935</v>
      </c>
      <c r="K96" s="14">
        <v>46672905</v>
      </c>
      <c r="L96" s="14">
        <v>49171221</v>
      </c>
      <c r="M96" s="14">
        <v>35626729</v>
      </c>
      <c r="N96" s="14">
        <v>33950771</v>
      </c>
      <c r="O96" s="14">
        <v>41836896</v>
      </c>
      <c r="P96" s="14">
        <v>39138040</v>
      </c>
      <c r="Q96" s="14">
        <v>33557927</v>
      </c>
      <c r="R96" s="14">
        <v>36706921</v>
      </c>
      <c r="S96" s="14">
        <v>66197388</v>
      </c>
      <c r="T96" s="14">
        <v>59416609</v>
      </c>
      <c r="U96" s="14">
        <v>52123170</v>
      </c>
      <c r="V96" s="14">
        <v>76474122</v>
      </c>
      <c r="W96" s="20">
        <v>148208547</v>
      </c>
      <c r="X96" s="20">
        <v>137646177</v>
      </c>
      <c r="Y96" s="20">
        <v>107468178</v>
      </c>
      <c r="Z96" s="20">
        <v>188133655</v>
      </c>
      <c r="AA96" s="19">
        <f t="shared" si="3"/>
        <v>0.75059872141872552</v>
      </c>
      <c r="AB96" s="19">
        <f t="shared" si="4"/>
        <v>1.4600956517029382</v>
      </c>
    </row>
    <row r="97" spans="1:28" x14ac:dyDescent="0.4">
      <c r="A97" s="12" t="s">
        <v>135</v>
      </c>
      <c r="B97" s="12" t="s">
        <v>88</v>
      </c>
      <c r="C97" s="12" t="s">
        <v>136</v>
      </c>
      <c r="D97" s="13" t="s">
        <v>45</v>
      </c>
      <c r="E97" s="14">
        <v>415073</v>
      </c>
      <c r="F97" s="14">
        <v>435104</v>
      </c>
      <c r="G97" s="14">
        <v>487534</v>
      </c>
      <c r="H97" s="14">
        <v>659021</v>
      </c>
      <c r="I97" s="14">
        <v>703863</v>
      </c>
      <c r="J97" s="14">
        <v>677667</v>
      </c>
      <c r="K97" s="14">
        <v>673873</v>
      </c>
      <c r="L97" s="14">
        <v>709003</v>
      </c>
      <c r="M97" s="14">
        <v>635412</v>
      </c>
      <c r="N97" s="14">
        <v>802233</v>
      </c>
      <c r="O97" s="14">
        <v>750504</v>
      </c>
      <c r="P97" s="14">
        <v>743178</v>
      </c>
      <c r="Q97" s="14">
        <v>687257</v>
      </c>
      <c r="R97" s="14">
        <v>920291</v>
      </c>
      <c r="S97" s="14">
        <v>830917</v>
      </c>
      <c r="T97" s="14">
        <v>1104404</v>
      </c>
      <c r="U97" s="14">
        <v>1396167</v>
      </c>
      <c r="V97" s="14">
        <v>1862298</v>
      </c>
      <c r="W97" s="14">
        <v>2333694</v>
      </c>
      <c r="X97" s="14">
        <v>2200920</v>
      </c>
      <c r="Y97" s="14">
        <v>2387516</v>
      </c>
      <c r="Z97" s="14">
        <v>2400044</v>
      </c>
      <c r="AA97" s="19">
        <f t="shared" si="3"/>
        <v>5.2472946778157059E-3</v>
      </c>
      <c r="AB97" s="19">
        <f t="shared" si="4"/>
        <v>0.28875400177629995</v>
      </c>
    </row>
    <row r="98" spans="1:28" x14ac:dyDescent="0.4">
      <c r="A98" s="12" t="s">
        <v>137</v>
      </c>
      <c r="B98" s="12" t="s">
        <v>138</v>
      </c>
      <c r="C98" s="12" t="s">
        <v>139</v>
      </c>
      <c r="D98" s="13" t="s">
        <v>45</v>
      </c>
      <c r="E98" s="14">
        <v>106625</v>
      </c>
      <c r="F98" s="14">
        <v>97687</v>
      </c>
      <c r="G98" s="14">
        <v>103868</v>
      </c>
      <c r="H98" s="14">
        <v>111646</v>
      </c>
      <c r="I98" s="14">
        <v>111527</v>
      </c>
      <c r="J98" s="14">
        <v>126090</v>
      </c>
      <c r="K98" s="14">
        <v>133149</v>
      </c>
      <c r="L98" s="14">
        <v>139543</v>
      </c>
      <c r="M98" s="14">
        <v>135373</v>
      </c>
      <c r="N98" s="14">
        <v>136558</v>
      </c>
      <c r="O98" s="14">
        <v>148764</v>
      </c>
      <c r="P98" s="14">
        <v>146413</v>
      </c>
      <c r="Q98" s="14">
        <v>143994</v>
      </c>
      <c r="R98" s="14">
        <v>145837</v>
      </c>
      <c r="S98" s="14">
        <v>140361</v>
      </c>
      <c r="T98" s="14">
        <v>124217</v>
      </c>
      <c r="U98" s="14">
        <v>124969</v>
      </c>
      <c r="V98" s="14">
        <v>117663</v>
      </c>
      <c r="W98" s="14">
        <v>123953</v>
      </c>
      <c r="X98" s="14">
        <v>114102</v>
      </c>
      <c r="Y98" s="14">
        <v>121616</v>
      </c>
      <c r="Z98" s="14">
        <v>124604</v>
      </c>
      <c r="AA98" s="19">
        <f t="shared" si="3"/>
        <v>2.4569135640047257E-2</v>
      </c>
      <c r="AB98" s="19">
        <f t="shared" si="4"/>
        <v>5.8990506786330554E-2</v>
      </c>
    </row>
    <row r="99" spans="1:28" x14ac:dyDescent="0.4">
      <c r="A99" s="12" t="s">
        <v>140</v>
      </c>
      <c r="B99" s="12" t="s">
        <v>43</v>
      </c>
      <c r="C99" s="12" t="s">
        <v>141</v>
      </c>
      <c r="D99" s="13" t="s">
        <v>48</v>
      </c>
      <c r="E99" s="18">
        <v>142934</v>
      </c>
      <c r="F99" s="18">
        <v>144077</v>
      </c>
      <c r="G99" s="18">
        <f>12579714*1000000/100000000</f>
        <v>125797.14</v>
      </c>
      <c r="H99" s="14">
        <v>128203</v>
      </c>
      <c r="I99" s="18">
        <v>158395</v>
      </c>
      <c r="J99" s="14">
        <v>151723</v>
      </c>
      <c r="K99" s="14">
        <v>162557</v>
      </c>
      <c r="L99" s="14">
        <v>148857</v>
      </c>
      <c r="M99" s="14">
        <v>144033</v>
      </c>
      <c r="N99" s="14">
        <v>174110</v>
      </c>
      <c r="O99" s="14">
        <v>184911</v>
      </c>
      <c r="P99" s="14">
        <v>178985</v>
      </c>
      <c r="Q99" s="14">
        <v>182381</v>
      </c>
      <c r="R99" s="14">
        <v>174642</v>
      </c>
      <c r="S99" s="14">
        <v>170459</v>
      </c>
      <c r="T99" s="14">
        <v>164906</v>
      </c>
      <c r="U99" s="14">
        <v>197950</v>
      </c>
      <c r="V99" s="14">
        <v>193515</v>
      </c>
      <c r="W99" s="14">
        <v>190183</v>
      </c>
      <c r="X99" s="14">
        <v>194426</v>
      </c>
      <c r="Y99" s="14">
        <v>255025</v>
      </c>
      <c r="Z99" s="14">
        <v>272409</v>
      </c>
      <c r="AA99" s="19">
        <f t="shared" si="3"/>
        <v>6.8165866091559613E-2</v>
      </c>
      <c r="AB99" s="19">
        <f t="shared" si="4"/>
        <v>0.40768932640880551</v>
      </c>
    </row>
    <row r="100" spans="1:28" ht="14.4" x14ac:dyDescent="0.4">
      <c r="A100" s="12" t="s">
        <v>142</v>
      </c>
      <c r="B100" s="12" t="s">
        <v>100</v>
      </c>
      <c r="C100" s="12" t="s">
        <v>143</v>
      </c>
      <c r="D100" s="13" t="s">
        <v>45</v>
      </c>
      <c r="E100" s="14">
        <v>41097</v>
      </c>
      <c r="F100" s="14">
        <v>39209</v>
      </c>
      <c r="G100" s="14">
        <v>38992</v>
      </c>
      <c r="H100" s="14">
        <v>48794</v>
      </c>
      <c r="I100" s="14">
        <v>48536</v>
      </c>
      <c r="J100" s="14">
        <v>76947</v>
      </c>
      <c r="K100" s="14">
        <v>96987</v>
      </c>
      <c r="L100" s="14">
        <v>101509</v>
      </c>
      <c r="M100" s="14">
        <v>109370</v>
      </c>
      <c r="N100" s="14">
        <v>119699</v>
      </c>
      <c r="O100" s="14">
        <v>128204</v>
      </c>
      <c r="P100" s="14">
        <v>122944</v>
      </c>
      <c r="Q100" s="14">
        <v>136805</v>
      </c>
      <c r="R100" s="14">
        <v>127373</v>
      </c>
      <c r="S100" s="14">
        <v>96723</v>
      </c>
      <c r="T100" s="184">
        <v>79466</v>
      </c>
      <c r="U100" s="184">
        <v>93562</v>
      </c>
      <c r="V100" s="184">
        <v>49344</v>
      </c>
      <c r="W100" s="14">
        <v>75007</v>
      </c>
      <c r="X100" s="14">
        <v>87069</v>
      </c>
      <c r="Y100" s="14">
        <v>100686</v>
      </c>
      <c r="Z100" s="14">
        <v>110139</v>
      </c>
      <c r="AA100" s="19">
        <f t="shared" si="3"/>
        <v>9.3885942434896563E-2</v>
      </c>
      <c r="AB100" s="19">
        <f t="shared" si="4"/>
        <v>1.2320646887159534</v>
      </c>
    </row>
    <row r="101" spans="1:28" x14ac:dyDescent="0.4">
      <c r="A101" s="12" t="s">
        <v>144</v>
      </c>
      <c r="B101" s="12" t="s">
        <v>107</v>
      </c>
      <c r="C101" s="12" t="s">
        <v>145</v>
      </c>
      <c r="D101" s="13" t="s">
        <v>146</v>
      </c>
      <c r="E101" s="14">
        <f>3946</f>
        <v>3946</v>
      </c>
      <c r="F101" s="14">
        <f>4544</f>
        <v>4544</v>
      </c>
      <c r="G101" s="14">
        <f>4356</f>
        <v>4356</v>
      </c>
      <c r="H101" s="14">
        <f>4164</f>
        <v>4164</v>
      </c>
      <c r="I101" s="14">
        <f>4350</f>
        <v>4350</v>
      </c>
      <c r="J101" s="14">
        <f>4329</f>
        <v>4329</v>
      </c>
      <c r="K101" s="14">
        <v>4241</v>
      </c>
      <c r="L101" s="14">
        <v>4423</v>
      </c>
      <c r="M101" s="14">
        <v>5008</v>
      </c>
      <c r="N101" s="14">
        <v>5109</v>
      </c>
      <c r="O101" s="14">
        <v>5367</v>
      </c>
      <c r="P101" s="14">
        <v>6134</v>
      </c>
      <c r="Q101" s="14">
        <v>5932</v>
      </c>
      <c r="R101" s="14">
        <v>5998</v>
      </c>
      <c r="S101" s="14">
        <v>6142</v>
      </c>
      <c r="T101" s="14">
        <v>6738</v>
      </c>
      <c r="U101" s="14">
        <v>8271</v>
      </c>
      <c r="V101" s="14">
        <v>9217</v>
      </c>
      <c r="W101" s="14">
        <v>9613</v>
      </c>
      <c r="X101" s="14">
        <v>10256</v>
      </c>
      <c r="Y101" s="14">
        <v>10704</v>
      </c>
      <c r="Z101" s="14">
        <v>10272</v>
      </c>
      <c r="AA101" s="19">
        <f t="shared" si="3"/>
        <v>-4.035874439461884E-2</v>
      </c>
      <c r="AB101" s="19">
        <f t="shared" si="4"/>
        <v>0.11446240642291428</v>
      </c>
    </row>
    <row r="102" spans="1:28" x14ac:dyDescent="0.4">
      <c r="A102" s="12" t="s">
        <v>147</v>
      </c>
      <c r="B102" s="12" t="s">
        <v>107</v>
      </c>
      <c r="C102" s="12" t="s">
        <v>145</v>
      </c>
      <c r="D102" s="13" t="s">
        <v>68</v>
      </c>
      <c r="E102" s="14">
        <v>33681779</v>
      </c>
      <c r="F102" s="14">
        <v>47837542</v>
      </c>
      <c r="G102" s="14">
        <v>54714373</v>
      </c>
      <c r="H102" s="14">
        <v>63243454</v>
      </c>
      <c r="I102" s="14">
        <v>61948397</v>
      </c>
      <c r="J102" s="14">
        <v>80571927</v>
      </c>
      <c r="K102" s="14">
        <v>78474365</v>
      </c>
      <c r="L102" s="14">
        <v>82888073</v>
      </c>
      <c r="M102" s="14">
        <v>66724089</v>
      </c>
      <c r="N102" s="14">
        <v>46077291</v>
      </c>
      <c r="O102" s="14">
        <v>40069283</v>
      </c>
      <c r="P102" s="14">
        <v>28334880</v>
      </c>
      <c r="Q102" s="14">
        <v>28394031</v>
      </c>
      <c r="R102" s="14">
        <v>31242976</v>
      </c>
      <c r="S102" s="14">
        <v>36236938</v>
      </c>
      <c r="T102" s="14">
        <v>58044735</v>
      </c>
      <c r="U102" s="14">
        <v>64322685</v>
      </c>
      <c r="V102" s="14">
        <v>56600765</v>
      </c>
      <c r="W102" s="20">
        <v>80255578</v>
      </c>
      <c r="X102" s="20">
        <v>68684741</v>
      </c>
      <c r="Y102" s="20">
        <v>66601054</v>
      </c>
      <c r="Z102" s="20">
        <v>54212255</v>
      </c>
      <c r="AA102" s="19">
        <f t="shared" si="3"/>
        <v>-0.18601505916107575</v>
      </c>
      <c r="AB102" s="19">
        <f t="shared" si="4"/>
        <v>-4.2199252960626987E-2</v>
      </c>
    </row>
    <row r="103" spans="1:28" x14ac:dyDescent="0.4">
      <c r="A103" s="12" t="s">
        <v>148</v>
      </c>
      <c r="B103" s="12" t="s">
        <v>107</v>
      </c>
      <c r="C103" s="12" t="s">
        <v>149</v>
      </c>
      <c r="D103" s="13" t="s">
        <v>150</v>
      </c>
      <c r="E103" s="14">
        <v>188198</v>
      </c>
      <c r="F103" s="14">
        <v>197400</v>
      </c>
      <c r="G103" s="14">
        <v>166478</v>
      </c>
      <c r="H103" s="14">
        <v>139935</v>
      </c>
      <c r="I103" s="14">
        <v>128078</v>
      </c>
      <c r="J103" s="14">
        <v>213575</v>
      </c>
      <c r="K103" s="14">
        <v>184712</v>
      </c>
      <c r="L103" s="14">
        <v>147992</v>
      </c>
      <c r="M103" s="14">
        <v>150884</v>
      </c>
      <c r="N103" s="14">
        <v>232574</v>
      </c>
      <c r="O103" s="14">
        <v>171941</v>
      </c>
      <c r="P103" s="14">
        <v>163291</v>
      </c>
      <c r="Q103" s="14">
        <v>142129</v>
      </c>
      <c r="R103" s="14">
        <v>142129</v>
      </c>
      <c r="S103" s="14">
        <v>144305</v>
      </c>
      <c r="T103" s="14">
        <v>205983</v>
      </c>
      <c r="U103" s="14">
        <v>212587</v>
      </c>
      <c r="V103" s="14">
        <v>229059</v>
      </c>
      <c r="W103" s="14">
        <v>255542</v>
      </c>
      <c r="X103" s="14">
        <v>224306</v>
      </c>
      <c r="Y103" s="14">
        <v>192994</v>
      </c>
      <c r="Z103" s="14">
        <v>299658</v>
      </c>
      <c r="AA103" s="19">
        <f t="shared" si="3"/>
        <v>0.5526803942091465</v>
      </c>
      <c r="AB103" s="19">
        <f t="shared" si="4"/>
        <v>0.30821316778646546</v>
      </c>
    </row>
    <row r="104" spans="1:28" x14ac:dyDescent="0.4">
      <c r="A104" s="12" t="s">
        <v>151</v>
      </c>
      <c r="B104" s="12" t="s">
        <v>100</v>
      </c>
      <c r="C104" s="12" t="s">
        <v>152</v>
      </c>
      <c r="D104" s="13" t="s">
        <v>45</v>
      </c>
      <c r="E104" s="14">
        <v>110139</v>
      </c>
      <c r="F104" s="14">
        <v>104268</v>
      </c>
      <c r="G104" s="14">
        <v>109024</v>
      </c>
      <c r="H104" s="14">
        <v>114688</v>
      </c>
      <c r="I104" s="20">
        <v>114077</v>
      </c>
      <c r="J104" s="14">
        <v>132162</v>
      </c>
      <c r="K104" s="14">
        <v>136483</v>
      </c>
      <c r="L104" s="14">
        <v>140785</v>
      </c>
      <c r="M104" s="14">
        <v>135631</v>
      </c>
      <c r="N104" s="14">
        <v>136818</v>
      </c>
      <c r="O104" s="14">
        <v>148769</v>
      </c>
      <c r="P104" s="14">
        <v>146413</v>
      </c>
      <c r="Q104" s="14">
        <v>143994</v>
      </c>
      <c r="R104" s="14">
        <v>145837</v>
      </c>
      <c r="S104" s="14">
        <v>140361</v>
      </c>
      <c r="T104" s="14">
        <v>124217</v>
      </c>
      <c r="U104" s="14">
        <v>1249689.17</v>
      </c>
      <c r="V104" s="14">
        <v>117663</v>
      </c>
      <c r="W104" s="20">
        <v>123953</v>
      </c>
      <c r="X104" s="20">
        <v>114102</v>
      </c>
      <c r="Y104" s="20">
        <v>121616</v>
      </c>
      <c r="Z104" s="20">
        <v>124604</v>
      </c>
      <c r="AA104" s="19">
        <f t="shared" si="3"/>
        <v>2.4569135640047257E-2</v>
      </c>
      <c r="AB104" s="19">
        <f t="shared" si="4"/>
        <v>5.8990506786330554E-2</v>
      </c>
    </row>
    <row r="105" spans="1:28" x14ac:dyDescent="0.4">
      <c r="A105" s="21" t="s">
        <v>153</v>
      </c>
      <c r="B105" s="12" t="s">
        <v>88</v>
      </c>
      <c r="C105" s="12" t="s">
        <v>95</v>
      </c>
      <c r="D105" s="13" t="s">
        <v>68</v>
      </c>
      <c r="E105" s="22"/>
      <c r="F105" s="22">
        <f>13326211+1200018+13210038+2911721+2533169+2827634</f>
        <v>36008791</v>
      </c>
      <c r="G105" s="22">
        <f>13126792+13288605+11834518+3669957+2490778+3666609</f>
        <v>48077259</v>
      </c>
      <c r="H105" s="22">
        <f>17215093+17060654+15973444+3456942+3016932+3506576</f>
        <v>60229641</v>
      </c>
      <c r="I105" s="22">
        <f>15370050+17535513+19187624+3338539+4654356+2666491</f>
        <v>62752573</v>
      </c>
      <c r="J105" s="22">
        <f>12485223+15538200+25851219+2991818+2438365+3678339</f>
        <v>62983164</v>
      </c>
      <c r="K105" s="22">
        <f>18051268+26556842+28281336+2424334+2428661+2718131</f>
        <v>80460572</v>
      </c>
      <c r="L105" s="22">
        <f>24909297+18975089+26685112+2443627+3835775+2952723</f>
        <v>79801623</v>
      </c>
      <c r="M105" s="22">
        <f>20465694+20357761+15681064+2971570+3838791+4286989</f>
        <v>67601869</v>
      </c>
      <c r="N105" s="22">
        <f>73148685+10538071</f>
        <v>83686756</v>
      </c>
      <c r="O105" s="22">
        <f>27055697+23242355+22000000+2904773+3820746+2997455</f>
        <v>82021026</v>
      </c>
      <c r="P105" s="22">
        <f>17667241+21684049+18925020+3441689+3292345+3486017</f>
        <v>68496361</v>
      </c>
      <c r="Q105" s="22">
        <f>18861878+18064353+20101618+3593289+3561553+3222263</f>
        <v>67404954</v>
      </c>
      <c r="R105" s="22">
        <f>65354315+7739183</f>
        <v>73093498</v>
      </c>
      <c r="S105" s="22">
        <f>22222774+26221250+19058122+3548549+3012132+2819522</f>
        <v>76882349</v>
      </c>
      <c r="T105" s="22">
        <f>22375641+25231340+18768931+2825292+1731782+3074844</f>
        <v>74007830</v>
      </c>
      <c r="U105" s="22">
        <f>20708051+22134753+28077453+2720210+2927266+2219199</f>
        <v>78786932</v>
      </c>
      <c r="V105" s="22">
        <f>65658839+7598310</f>
        <v>73257149</v>
      </c>
      <c r="W105" s="22">
        <f>20436353+31473076+18388509+1850989+976178+2166737</f>
        <v>75291842</v>
      </c>
      <c r="X105" s="22">
        <f>26497412+27261933+21406242+3058270+3797325+2966999</f>
        <v>84988181</v>
      </c>
      <c r="Y105" s="22">
        <f>21453655+28794591+18413773+3317993+3268544+2559232</f>
        <v>77807788</v>
      </c>
      <c r="Z105" s="22">
        <f>54259795+12213917</f>
        <v>66473712</v>
      </c>
      <c r="AA105" s="19">
        <f t="shared" si="3"/>
        <v>-0.14566762905533315</v>
      </c>
      <c r="AB105" s="19">
        <f t="shared" si="4"/>
        <v>-9.2597611190137874E-2</v>
      </c>
    </row>
    <row r="106" spans="1:28" x14ac:dyDescent="0.4">
      <c r="A106" s="12" t="s">
        <v>154</v>
      </c>
      <c r="B106" s="12" t="s">
        <v>100</v>
      </c>
      <c r="C106" s="12" t="s">
        <v>155</v>
      </c>
      <c r="D106" s="13" t="s">
        <v>45</v>
      </c>
      <c r="E106" s="14">
        <v>1514652</v>
      </c>
      <c r="F106" s="14">
        <v>1580966</v>
      </c>
      <c r="G106" s="14">
        <v>1775010</v>
      </c>
      <c r="H106" s="14">
        <v>1893947</v>
      </c>
      <c r="I106" s="14">
        <v>2144176</v>
      </c>
      <c r="J106" s="14">
        <v>2348725</v>
      </c>
      <c r="K106" s="14">
        <v>2456423</v>
      </c>
      <c r="L106" s="14">
        <v>2421071</v>
      </c>
      <c r="M106" s="14">
        <v>2315232</v>
      </c>
      <c r="N106" s="14">
        <v>2183681</v>
      </c>
      <c r="O106" s="14">
        <v>2176774</v>
      </c>
      <c r="P106" s="14">
        <v>2110708</v>
      </c>
      <c r="Q106" s="14">
        <v>2015155</v>
      </c>
      <c r="R106" s="14">
        <v>1959428</v>
      </c>
      <c r="S106" s="14">
        <v>2163936</v>
      </c>
      <c r="T106" s="14">
        <v>2138083</v>
      </c>
      <c r="U106" s="14">
        <v>2096342</v>
      </c>
      <c r="V106" s="14">
        <v>2081168</v>
      </c>
      <c r="W106" s="14">
        <v>2140387</v>
      </c>
      <c r="X106" s="14">
        <v>2847507</v>
      </c>
      <c r="Y106" s="14">
        <v>3046867</v>
      </c>
      <c r="Z106" s="14">
        <v>3111951</v>
      </c>
      <c r="AA106" s="19">
        <f t="shared" si="3"/>
        <v>2.1360958650311845E-2</v>
      </c>
      <c r="AB106" s="19">
        <f t="shared" si="4"/>
        <v>0.49529062526427459</v>
      </c>
    </row>
    <row r="107" spans="1:28" x14ac:dyDescent="0.4">
      <c r="A107" s="12" t="s">
        <v>156</v>
      </c>
      <c r="B107" s="12" t="s">
        <v>78</v>
      </c>
      <c r="C107" s="12" t="s">
        <v>157</v>
      </c>
      <c r="D107" s="13" t="s">
        <v>45</v>
      </c>
      <c r="E107" s="12">
        <v>15776</v>
      </c>
      <c r="F107" s="12">
        <v>36836</v>
      </c>
      <c r="G107" s="12">
        <v>24652</v>
      </c>
      <c r="H107" s="12">
        <v>5771</v>
      </c>
      <c r="I107" s="14">
        <v>13892</v>
      </c>
      <c r="J107" s="14">
        <v>14819</v>
      </c>
      <c r="K107" s="14">
        <v>14242</v>
      </c>
      <c r="L107" s="14">
        <v>13984</v>
      </c>
      <c r="M107" s="14">
        <v>27962</v>
      </c>
      <c r="N107" s="14">
        <v>31113</v>
      </c>
      <c r="O107" s="14">
        <v>61676</v>
      </c>
      <c r="P107" s="14">
        <v>49475</v>
      </c>
      <c r="Q107" s="14">
        <v>51429</v>
      </c>
      <c r="R107" s="14">
        <v>31208</v>
      </c>
      <c r="S107" s="14">
        <v>28189</v>
      </c>
      <c r="T107" s="14">
        <v>12761</v>
      </c>
      <c r="U107" s="14">
        <v>25588</v>
      </c>
      <c r="V107" s="14">
        <v>47854</v>
      </c>
      <c r="W107" s="20">
        <v>36147</v>
      </c>
      <c r="X107" s="20">
        <v>32055</v>
      </c>
      <c r="Y107" s="20">
        <v>40120</v>
      </c>
      <c r="Z107" s="20">
        <v>43227</v>
      </c>
      <c r="AA107" s="19">
        <f t="shared" si="3"/>
        <v>7.7442671984047751E-2</v>
      </c>
      <c r="AB107" s="19">
        <f t="shared" si="4"/>
        <v>-9.6689931876123181E-2</v>
      </c>
    </row>
    <row r="108" spans="1:28" x14ac:dyDescent="0.4">
      <c r="A108" s="12" t="s">
        <v>158</v>
      </c>
      <c r="B108" s="12" t="s">
        <v>54</v>
      </c>
      <c r="C108" s="12" t="s">
        <v>159</v>
      </c>
      <c r="D108" s="13" t="s">
        <v>45</v>
      </c>
      <c r="E108" s="20">
        <v>216834</v>
      </c>
      <c r="F108" s="14">
        <v>267161</v>
      </c>
      <c r="G108" s="14">
        <v>274479</v>
      </c>
      <c r="H108" s="14">
        <v>338847</v>
      </c>
      <c r="I108" s="14">
        <v>442846</v>
      </c>
      <c r="J108" s="14">
        <v>473098</v>
      </c>
      <c r="K108" s="14">
        <v>507199</v>
      </c>
      <c r="L108" s="14">
        <v>495507</v>
      </c>
      <c r="M108" s="14">
        <v>456001</v>
      </c>
      <c r="N108" s="14">
        <v>426000</v>
      </c>
      <c r="O108" s="14">
        <v>401525</v>
      </c>
      <c r="P108" s="14">
        <v>420249</v>
      </c>
      <c r="Q108" s="14">
        <v>451210</v>
      </c>
      <c r="R108" s="14">
        <v>438330</v>
      </c>
      <c r="S108" s="14">
        <v>407204</v>
      </c>
      <c r="T108" s="14">
        <v>374556</v>
      </c>
      <c r="U108" s="14">
        <v>311598</v>
      </c>
      <c r="V108" s="14">
        <v>298660</v>
      </c>
      <c r="W108" s="14">
        <v>247066</v>
      </c>
      <c r="X108" s="14">
        <v>217072</v>
      </c>
      <c r="Y108" s="14">
        <v>235780</v>
      </c>
      <c r="Z108" s="14">
        <v>343476</v>
      </c>
      <c r="AA108" s="19">
        <f t="shared" si="3"/>
        <v>0.45676478072779703</v>
      </c>
      <c r="AB108" s="19">
        <f t="shared" si="4"/>
        <v>0.15005692091341327</v>
      </c>
    </row>
    <row r="109" spans="1:28" x14ac:dyDescent="0.4">
      <c r="A109" s="12" t="s">
        <v>3010</v>
      </c>
      <c r="B109" s="12" t="s">
        <v>88</v>
      </c>
      <c r="C109" s="12"/>
      <c r="D109" s="13" t="s">
        <v>3011</v>
      </c>
      <c r="E109" s="20"/>
      <c r="F109" s="14"/>
      <c r="G109" s="14">
        <v>797</v>
      </c>
      <c r="H109" s="14">
        <v>834</v>
      </c>
      <c r="I109" s="14">
        <v>1240</v>
      </c>
      <c r="J109" s="14">
        <v>1575</v>
      </c>
      <c r="K109" s="14">
        <v>1658</v>
      </c>
      <c r="L109" s="14">
        <v>1536</v>
      </c>
      <c r="M109" s="14">
        <v>1610</v>
      </c>
      <c r="N109" s="14">
        <v>1970</v>
      </c>
      <c r="O109" s="14">
        <v>1979</v>
      </c>
      <c r="P109" s="14">
        <v>2061</v>
      </c>
      <c r="Q109" s="14">
        <v>2458</v>
      </c>
      <c r="R109" s="14">
        <v>2486</v>
      </c>
      <c r="S109" s="14">
        <v>2442</v>
      </c>
      <c r="T109" s="14">
        <v>2320</v>
      </c>
      <c r="U109" s="14">
        <v>2591</v>
      </c>
      <c r="V109" s="14">
        <v>2814</v>
      </c>
      <c r="W109" s="14">
        <v>2904</v>
      </c>
      <c r="X109" s="14">
        <v>3877</v>
      </c>
      <c r="Y109" s="14">
        <v>3996</v>
      </c>
      <c r="Z109" s="14">
        <v>3967</v>
      </c>
      <c r="AA109" s="19">
        <f t="shared" si="3"/>
        <v>-7.2572572572572325E-3</v>
      </c>
      <c r="AB109" s="19">
        <f t="shared" si="4"/>
        <v>0.4097370291400142</v>
      </c>
    </row>
    <row r="110" spans="1:28" x14ac:dyDescent="0.4">
      <c r="A110" s="21" t="s">
        <v>160</v>
      </c>
      <c r="B110" s="12" t="s">
        <v>85</v>
      </c>
      <c r="C110" s="12" t="s">
        <v>120</v>
      </c>
      <c r="D110" s="13" t="s">
        <v>45</v>
      </c>
      <c r="E110" s="22">
        <v>418489</v>
      </c>
      <c r="F110" s="22">
        <v>500390</v>
      </c>
      <c r="G110" s="22">
        <v>604485</v>
      </c>
      <c r="H110" s="22">
        <v>827609</v>
      </c>
      <c r="I110" s="22">
        <v>904335</v>
      </c>
      <c r="J110" s="22">
        <v>1216678</v>
      </c>
      <c r="K110" s="22">
        <v>1335301</v>
      </c>
      <c r="L110" s="22">
        <v>1299800</v>
      </c>
      <c r="M110" s="22">
        <v>1430190</v>
      </c>
      <c r="N110" s="22">
        <v>1756763</v>
      </c>
      <c r="O110" s="22">
        <v>1742869</v>
      </c>
      <c r="P110" s="22">
        <v>1822028</v>
      </c>
      <c r="Q110" s="22">
        <v>1830799</v>
      </c>
      <c r="R110" s="22">
        <v>1892710</v>
      </c>
      <c r="S110" s="22">
        <v>2049785</v>
      </c>
      <c r="T110" s="22">
        <v>1894740</v>
      </c>
      <c r="U110" s="22">
        <v>1734621</v>
      </c>
      <c r="V110" s="22">
        <v>1676215</v>
      </c>
      <c r="W110" s="22">
        <v>1595232</v>
      </c>
      <c r="X110" s="22">
        <v>1590283</v>
      </c>
      <c r="Y110" s="22">
        <v>1426584</v>
      </c>
      <c r="Z110" s="22">
        <v>1405926</v>
      </c>
      <c r="AA110" s="19">
        <f t="shared" ref="AA110:AA170" si="5">Z110/Y110-1</f>
        <v>-1.4480745613297263E-2</v>
      </c>
      <c r="AB110" s="19">
        <f t="shared" ref="AB110:AB170" si="6">Z110/V110-1</f>
        <v>-0.16124960103566666</v>
      </c>
    </row>
    <row r="111" spans="1:28" x14ac:dyDescent="0.4">
      <c r="A111" s="12" t="s">
        <v>161</v>
      </c>
      <c r="B111" s="12" t="s">
        <v>85</v>
      </c>
      <c r="C111" s="12" t="s">
        <v>162</v>
      </c>
      <c r="D111" s="13" t="s">
        <v>45</v>
      </c>
      <c r="E111" s="14">
        <v>44197</v>
      </c>
      <c r="F111" s="14">
        <v>51324</v>
      </c>
      <c r="G111" s="14">
        <v>111734</v>
      </c>
      <c r="H111" s="14">
        <v>111058</v>
      </c>
      <c r="I111" s="14">
        <v>122071</v>
      </c>
      <c r="J111" s="14">
        <v>228621</v>
      </c>
      <c r="K111" s="14">
        <v>197334</v>
      </c>
      <c r="L111" s="20">
        <v>256853</v>
      </c>
      <c r="M111" s="20">
        <v>157557</v>
      </c>
      <c r="N111" s="20">
        <v>432604</v>
      </c>
      <c r="O111" s="20">
        <v>644774</v>
      </c>
      <c r="P111" s="20">
        <v>726997</v>
      </c>
      <c r="Q111" s="20">
        <v>432988</v>
      </c>
      <c r="R111" s="20">
        <v>300211</v>
      </c>
      <c r="S111" s="20">
        <v>280913</v>
      </c>
      <c r="T111" s="20">
        <f>227753</f>
        <v>227753</v>
      </c>
      <c r="U111" s="20">
        <v>185187</v>
      </c>
      <c r="V111" s="20">
        <v>236474</v>
      </c>
      <c r="W111" s="20">
        <v>234729</v>
      </c>
      <c r="X111" s="20">
        <v>222548</v>
      </c>
      <c r="Y111" s="20">
        <v>200532</v>
      </c>
      <c r="Z111" s="20">
        <v>152758</v>
      </c>
      <c r="AA111" s="19">
        <f t="shared" si="5"/>
        <v>-0.23823629146470393</v>
      </c>
      <c r="AB111" s="19">
        <f t="shared" si="6"/>
        <v>-0.35401777785295641</v>
      </c>
    </row>
    <row r="112" spans="1:28" x14ac:dyDescent="0.4">
      <c r="A112" s="12" t="s">
        <v>163</v>
      </c>
      <c r="B112" s="12" t="s">
        <v>85</v>
      </c>
      <c r="C112" s="12" t="s">
        <v>164</v>
      </c>
      <c r="D112" s="13" t="s">
        <v>45</v>
      </c>
      <c r="E112" s="14">
        <v>30490</v>
      </c>
      <c r="F112" s="14">
        <v>22738</v>
      </c>
      <c r="G112" s="14">
        <v>49139</v>
      </c>
      <c r="H112" s="14">
        <v>80831</v>
      </c>
      <c r="I112" s="14">
        <v>116176</v>
      </c>
      <c r="J112" s="14">
        <v>80002</v>
      </c>
      <c r="K112" s="14">
        <v>186689</v>
      </c>
      <c r="L112" s="20">
        <v>187428</v>
      </c>
      <c r="M112" s="20">
        <v>249302</v>
      </c>
      <c r="N112" s="20">
        <v>348285</v>
      </c>
      <c r="O112" s="20">
        <v>348555</v>
      </c>
      <c r="P112" s="20">
        <v>395528</v>
      </c>
      <c r="Q112" s="20">
        <v>410215</v>
      </c>
      <c r="R112" s="20">
        <v>387003</v>
      </c>
      <c r="S112" s="20">
        <v>347996</v>
      </c>
      <c r="T112" s="20">
        <v>262705</v>
      </c>
      <c r="U112" s="20">
        <v>276601</v>
      </c>
      <c r="V112" s="20">
        <v>286189</v>
      </c>
      <c r="W112" s="20">
        <v>250320</v>
      </c>
      <c r="X112" s="20">
        <v>256779</v>
      </c>
      <c r="Y112" s="20">
        <v>243857</v>
      </c>
      <c r="Z112" s="20">
        <v>296373</v>
      </c>
      <c r="AA112" s="19">
        <f t="shared" si="5"/>
        <v>0.21535572077077969</v>
      </c>
      <c r="AB112" s="19">
        <f t="shared" si="6"/>
        <v>3.5584875728976284E-2</v>
      </c>
    </row>
    <row r="113" spans="1:28" x14ac:dyDescent="0.4">
      <c r="A113" s="12" t="s">
        <v>165</v>
      </c>
      <c r="B113" s="12" t="s">
        <v>85</v>
      </c>
      <c r="C113" s="12" t="s">
        <v>120</v>
      </c>
      <c r="D113" s="13" t="s">
        <v>166</v>
      </c>
      <c r="E113" s="14">
        <v>242234018730</v>
      </c>
      <c r="F113" s="14">
        <v>254953057519</v>
      </c>
      <c r="G113" s="14">
        <v>272186776199</v>
      </c>
      <c r="H113" s="14">
        <v>317069743029</v>
      </c>
      <c r="I113" s="14">
        <v>325752544311</v>
      </c>
      <c r="J113" s="14">
        <v>305497618789</v>
      </c>
      <c r="K113" s="14">
        <v>484623142004</v>
      </c>
      <c r="L113" s="20">
        <v>467712254483</v>
      </c>
      <c r="M113" s="20">
        <v>580872865108</v>
      </c>
      <c r="N113" s="20">
        <v>768110913504</v>
      </c>
      <c r="O113" s="20">
        <v>780624412450</v>
      </c>
      <c r="P113" s="20">
        <v>816993388433</v>
      </c>
      <c r="Q113" s="20">
        <v>899379311763</v>
      </c>
      <c r="R113" s="20">
        <v>879582723536</v>
      </c>
      <c r="S113" s="20">
        <v>861484499816</v>
      </c>
      <c r="T113" s="20">
        <v>593498709419</v>
      </c>
      <c r="U113" s="20">
        <v>578727566074</v>
      </c>
      <c r="V113" s="20">
        <v>499803876277</v>
      </c>
      <c r="W113" s="20">
        <v>370372106841</v>
      </c>
      <c r="X113" s="20">
        <v>315539623461</v>
      </c>
      <c r="Y113" s="20">
        <v>258638252519</v>
      </c>
      <c r="Z113" s="20">
        <v>314657269846</v>
      </c>
      <c r="AA113" s="19">
        <f t="shared" si="5"/>
        <v>0.21659215828054967</v>
      </c>
      <c r="AB113" s="19">
        <f t="shared" si="6"/>
        <v>-0.3704385164239673</v>
      </c>
    </row>
    <row r="114" spans="1:28" x14ac:dyDescent="0.4">
      <c r="A114" s="21" t="s">
        <v>167</v>
      </c>
      <c r="B114" s="12" t="s">
        <v>57</v>
      </c>
      <c r="C114" s="12" t="s">
        <v>168</v>
      </c>
      <c r="D114" s="13" t="s">
        <v>45</v>
      </c>
      <c r="E114" s="22">
        <v>144532</v>
      </c>
      <c r="F114" s="22">
        <v>130797</v>
      </c>
      <c r="G114" s="22">
        <v>130797</v>
      </c>
      <c r="H114" s="22">
        <v>169650</v>
      </c>
      <c r="I114" s="22">
        <v>182014</v>
      </c>
      <c r="J114" s="14">
        <v>151691</v>
      </c>
      <c r="K114" s="14">
        <v>145305</v>
      </c>
      <c r="L114" s="14">
        <v>140141</v>
      </c>
      <c r="M114" s="14">
        <v>165741</v>
      </c>
      <c r="N114" s="14">
        <v>144436</v>
      </c>
      <c r="O114" s="14">
        <v>171607</v>
      </c>
      <c r="P114" s="14">
        <v>317805</v>
      </c>
      <c r="Q114" s="14">
        <v>366890</v>
      </c>
      <c r="R114" s="14">
        <v>437179</v>
      </c>
      <c r="S114" s="14">
        <v>335078</v>
      </c>
      <c r="T114" s="14">
        <v>288534</v>
      </c>
      <c r="U114" s="14">
        <v>154135</v>
      </c>
      <c r="V114" s="14">
        <v>121225</v>
      </c>
      <c r="W114" s="14">
        <v>91999</v>
      </c>
      <c r="X114" s="14">
        <v>101438</v>
      </c>
      <c r="Y114" s="14">
        <v>105938</v>
      </c>
      <c r="Z114" s="14">
        <v>111039</v>
      </c>
      <c r="AA114" s="19">
        <f t="shared" si="5"/>
        <v>4.8150805187940016E-2</v>
      </c>
      <c r="AB114" s="19">
        <f t="shared" si="6"/>
        <v>-8.4025572282944938E-2</v>
      </c>
    </row>
    <row r="115" spans="1:28" x14ac:dyDescent="0.4">
      <c r="A115" s="12" t="s">
        <v>169</v>
      </c>
      <c r="B115" s="12" t="s">
        <v>57</v>
      </c>
      <c r="C115" s="12" t="s">
        <v>170</v>
      </c>
      <c r="D115" s="13" t="s">
        <v>45</v>
      </c>
      <c r="E115" s="14">
        <v>176224</v>
      </c>
      <c r="F115" s="14">
        <v>162577</v>
      </c>
      <c r="G115" s="14">
        <v>143319</v>
      </c>
      <c r="H115" s="14">
        <v>130130</v>
      </c>
      <c r="I115" s="14">
        <v>116232</v>
      </c>
      <c r="J115" s="14">
        <v>116368</v>
      </c>
      <c r="K115" s="14">
        <v>100939</v>
      </c>
      <c r="L115" s="14">
        <v>97233</v>
      </c>
      <c r="M115" s="14">
        <v>82486</v>
      </c>
      <c r="N115" s="14">
        <v>67466</v>
      </c>
      <c r="O115" s="14">
        <v>47093</v>
      </c>
      <c r="P115" s="14">
        <v>283</v>
      </c>
      <c r="Q115" s="14">
        <v>177847</v>
      </c>
      <c r="R115" s="14">
        <v>171554</v>
      </c>
      <c r="S115" s="14">
        <v>167430</v>
      </c>
      <c r="T115" s="14">
        <v>161375</v>
      </c>
      <c r="U115" s="14">
        <v>147635</v>
      </c>
      <c r="V115" s="14">
        <v>141886</v>
      </c>
      <c r="W115" s="14">
        <v>136578</v>
      </c>
      <c r="X115" s="14">
        <v>124743</v>
      </c>
      <c r="Y115" s="14">
        <v>112050</v>
      </c>
      <c r="Z115" s="14">
        <v>103021</v>
      </c>
      <c r="AA115" s="19">
        <f t="shared" si="5"/>
        <v>-8.0580098170459635E-2</v>
      </c>
      <c r="AB115" s="19">
        <f t="shared" si="6"/>
        <v>-0.27391708836671691</v>
      </c>
    </row>
    <row r="116" spans="1:28" x14ac:dyDescent="0.4">
      <c r="A116" s="21" t="s">
        <v>171</v>
      </c>
      <c r="B116" s="12" t="s">
        <v>100</v>
      </c>
      <c r="C116" s="12" t="s">
        <v>172</v>
      </c>
      <c r="D116" s="13" t="s">
        <v>45</v>
      </c>
      <c r="E116" s="22">
        <v>37200</v>
      </c>
      <c r="F116" s="22">
        <v>34872</v>
      </c>
      <c r="G116" s="22">
        <v>48662</v>
      </c>
      <c r="H116" s="22">
        <v>57593</v>
      </c>
      <c r="I116" s="22">
        <v>67554</v>
      </c>
      <c r="J116" s="22">
        <v>58991</v>
      </c>
      <c r="K116" s="22">
        <v>60927</v>
      </c>
      <c r="L116" s="22">
        <v>58371</v>
      </c>
      <c r="M116" s="22">
        <v>73727</v>
      </c>
      <c r="N116" s="22">
        <v>83220</v>
      </c>
      <c r="O116" s="22">
        <v>85984</v>
      </c>
      <c r="P116" s="22">
        <v>71527</v>
      </c>
      <c r="Q116" s="22">
        <v>53634</v>
      </c>
      <c r="R116" s="22">
        <v>44046</v>
      </c>
      <c r="S116" s="22">
        <v>43662</v>
      </c>
      <c r="T116" s="22">
        <v>33950</v>
      </c>
      <c r="U116" s="22">
        <v>33017</v>
      </c>
      <c r="V116" s="22">
        <v>25605</v>
      </c>
      <c r="W116" s="22">
        <v>31442</v>
      </c>
      <c r="X116" s="22">
        <v>28487</v>
      </c>
      <c r="Y116" s="22">
        <v>30807</v>
      </c>
      <c r="Z116" s="22">
        <v>37342</v>
      </c>
      <c r="AA116" s="19">
        <f t="shared" si="5"/>
        <v>0.21212711396760486</v>
      </c>
      <c r="AB116" s="19">
        <f t="shared" si="6"/>
        <v>0.45838703378246426</v>
      </c>
    </row>
    <row r="117" spans="1:28" x14ac:dyDescent="0.4">
      <c r="A117" s="12" t="s">
        <v>173</v>
      </c>
      <c r="B117" s="12" t="s">
        <v>100</v>
      </c>
      <c r="C117" s="12" t="s">
        <v>174</v>
      </c>
      <c r="D117" s="13" t="s">
        <v>45</v>
      </c>
      <c r="E117" s="14">
        <v>3078972</v>
      </c>
      <c r="F117" s="14">
        <v>3142040</v>
      </c>
      <c r="G117" s="14">
        <v>3031206</v>
      </c>
      <c r="H117" s="14">
        <v>3373010</v>
      </c>
      <c r="I117" s="14">
        <v>3270362</v>
      </c>
      <c r="J117" s="14">
        <v>3027733</v>
      </c>
      <c r="K117" s="14">
        <v>2708234</v>
      </c>
      <c r="L117" s="14">
        <v>2587722</v>
      </c>
      <c r="M117" s="14">
        <v>2244087</v>
      </c>
      <c r="N117" s="14">
        <v>2503767</v>
      </c>
      <c r="O117" s="14">
        <v>2572548</v>
      </c>
      <c r="P117" s="14">
        <v>2313590</v>
      </c>
      <c r="Q117" s="14">
        <v>2009254</v>
      </c>
      <c r="R117" s="14">
        <v>2228131</v>
      </c>
      <c r="S117" s="14">
        <v>2109122</v>
      </c>
      <c r="T117" s="14">
        <v>1931660</v>
      </c>
      <c r="U117" s="14">
        <v>1922828</v>
      </c>
      <c r="V117" s="14">
        <v>1778861</v>
      </c>
      <c r="W117" s="14">
        <v>1650307</v>
      </c>
      <c r="X117" s="14">
        <v>1449527</v>
      </c>
      <c r="Y117" s="14">
        <v>1250255</v>
      </c>
      <c r="Z117" s="14">
        <v>1699001</v>
      </c>
      <c r="AA117" s="19">
        <f t="shared" si="5"/>
        <v>0.35892357958976362</v>
      </c>
      <c r="AB117" s="19">
        <f t="shared" si="6"/>
        <v>-4.4893895588244415E-2</v>
      </c>
    </row>
    <row r="118" spans="1:28" x14ac:dyDescent="0.4">
      <c r="A118" s="12" t="s">
        <v>175</v>
      </c>
      <c r="B118" s="12" t="s">
        <v>43</v>
      </c>
      <c r="C118" s="12" t="s">
        <v>176</v>
      </c>
      <c r="D118" s="13" t="s">
        <v>45</v>
      </c>
      <c r="E118" s="18">
        <v>556005</v>
      </c>
      <c r="F118" s="18">
        <v>488498</v>
      </c>
      <c r="G118" s="18">
        <v>797041</v>
      </c>
      <c r="H118" s="18">
        <v>966654</v>
      </c>
      <c r="I118" s="18">
        <v>1128642</v>
      </c>
      <c r="J118" s="14">
        <v>1085234</v>
      </c>
      <c r="K118" s="14">
        <v>996778</v>
      </c>
      <c r="L118" s="14">
        <v>1502891</v>
      </c>
      <c r="M118" s="14">
        <v>2058314</v>
      </c>
      <c r="N118" s="14">
        <v>1884701</v>
      </c>
      <c r="O118" s="14">
        <v>1652786</v>
      </c>
      <c r="P118" s="14">
        <v>1453721</v>
      </c>
      <c r="Q118" s="14">
        <v>1284572</v>
      </c>
      <c r="R118" s="14">
        <v>1183523</v>
      </c>
      <c r="S118" s="14">
        <v>1502004</v>
      </c>
      <c r="T118" s="14">
        <v>1310665</v>
      </c>
      <c r="U118" s="14">
        <v>1196760</v>
      </c>
      <c r="V118" s="14">
        <v>928139</v>
      </c>
      <c r="W118" s="20">
        <v>1078863</v>
      </c>
      <c r="X118" s="20">
        <v>1314664</v>
      </c>
      <c r="Y118" s="20">
        <v>1234153</v>
      </c>
      <c r="Z118" s="20">
        <v>1222454</v>
      </c>
      <c r="AA118" s="19">
        <f t="shared" si="5"/>
        <v>-9.4793757338028639E-3</v>
      </c>
      <c r="AB118" s="19">
        <f t="shared" si="6"/>
        <v>0.31710228748064684</v>
      </c>
    </row>
    <row r="119" spans="1:28" x14ac:dyDescent="0.4">
      <c r="A119" s="12" t="s">
        <v>177</v>
      </c>
      <c r="B119" s="12" t="s">
        <v>78</v>
      </c>
      <c r="C119" s="12" t="s">
        <v>178</v>
      </c>
      <c r="D119" s="13" t="s">
        <v>45</v>
      </c>
      <c r="E119" s="12">
        <v>259154</v>
      </c>
      <c r="F119" s="12">
        <v>300002</v>
      </c>
      <c r="G119" s="18">
        <v>228076</v>
      </c>
      <c r="H119" s="18">
        <v>208899</v>
      </c>
      <c r="I119" s="14">
        <v>193665</v>
      </c>
      <c r="J119" s="14">
        <v>219029</v>
      </c>
      <c r="K119" s="14">
        <v>221522</v>
      </c>
      <c r="L119" s="14">
        <v>200343</v>
      </c>
      <c r="M119" s="14">
        <v>155559</v>
      </c>
      <c r="N119" s="14">
        <v>183571</v>
      </c>
      <c r="O119" s="14">
        <v>205760</v>
      </c>
      <c r="P119" s="14">
        <v>207173</v>
      </c>
      <c r="Q119" s="14">
        <v>165053</v>
      </c>
      <c r="R119" s="14">
        <v>211401</v>
      </c>
      <c r="S119" s="14">
        <v>190627</v>
      </c>
      <c r="T119" s="14">
        <v>175169</v>
      </c>
      <c r="U119" s="14">
        <v>140816</v>
      </c>
      <c r="V119" s="14">
        <v>91781</v>
      </c>
      <c r="W119" s="14">
        <v>131161</v>
      </c>
      <c r="X119" s="14">
        <v>211308</v>
      </c>
      <c r="Y119" s="14">
        <v>228659</v>
      </c>
      <c r="Z119" s="14">
        <v>186441</v>
      </c>
      <c r="AA119" s="19">
        <f t="shared" si="5"/>
        <v>-0.18463301247709474</v>
      </c>
      <c r="AB119" s="19">
        <f t="shared" si="6"/>
        <v>1.0313681480916528</v>
      </c>
    </row>
    <row r="120" spans="1:28" x14ac:dyDescent="0.4">
      <c r="A120" s="12" t="s">
        <v>179</v>
      </c>
      <c r="B120" s="12" t="s">
        <v>78</v>
      </c>
      <c r="C120" s="12" t="s">
        <v>180</v>
      </c>
      <c r="D120" s="13" t="s">
        <v>45</v>
      </c>
      <c r="E120" s="18">
        <v>6135</v>
      </c>
      <c r="F120" s="18">
        <v>4492</v>
      </c>
      <c r="G120" s="18">
        <v>38733</v>
      </c>
      <c r="H120" s="18">
        <v>40160</v>
      </c>
      <c r="I120" s="14">
        <v>84390</v>
      </c>
      <c r="J120" s="14">
        <v>104739</v>
      </c>
      <c r="K120" s="14">
        <v>48868</v>
      </c>
      <c r="L120" s="14">
        <v>44338</v>
      </c>
      <c r="M120" s="14">
        <v>49631</v>
      </c>
      <c r="N120" s="14">
        <v>74636</v>
      </c>
      <c r="O120" s="14">
        <v>94769</v>
      </c>
      <c r="P120" s="14">
        <v>85850</v>
      </c>
      <c r="Q120" s="14">
        <v>67287</v>
      </c>
      <c r="R120" s="14">
        <v>87927</v>
      </c>
      <c r="S120" s="14">
        <f>44871</f>
        <v>44871</v>
      </c>
      <c r="T120" s="14">
        <v>64852</v>
      </c>
      <c r="U120" s="14">
        <v>54824</v>
      </c>
      <c r="V120" s="14">
        <v>40929</v>
      </c>
      <c r="W120" s="14">
        <v>13965</v>
      </c>
      <c r="X120" s="14">
        <v>19717</v>
      </c>
      <c r="Y120" s="14">
        <v>16793</v>
      </c>
      <c r="Z120" s="14">
        <v>18319</v>
      </c>
      <c r="AA120" s="19">
        <f t="shared" si="5"/>
        <v>9.087119633180496E-2</v>
      </c>
      <c r="AB120" s="19">
        <f t="shared" si="6"/>
        <v>-0.55242004446724824</v>
      </c>
    </row>
    <row r="121" spans="1:28" x14ac:dyDescent="0.4">
      <c r="A121" s="12" t="s">
        <v>181</v>
      </c>
      <c r="B121" s="12" t="s">
        <v>78</v>
      </c>
      <c r="C121" s="12" t="s">
        <v>182</v>
      </c>
      <c r="D121" s="13" t="s">
        <v>68</v>
      </c>
      <c r="E121" s="18">
        <v>57081763</v>
      </c>
      <c r="F121" s="18">
        <v>37881558</v>
      </c>
      <c r="G121" s="18">
        <v>25655543</v>
      </c>
      <c r="H121" s="18">
        <v>55413947</v>
      </c>
      <c r="I121" s="14">
        <v>53871249</v>
      </c>
      <c r="J121" s="14">
        <v>45524750</v>
      </c>
      <c r="K121" s="14">
        <v>31947644</v>
      </c>
      <c r="L121" s="14">
        <v>96299997</v>
      </c>
      <c r="M121" s="14">
        <v>57395977</v>
      </c>
      <c r="N121" s="14">
        <v>51971603</v>
      </c>
      <c r="O121" s="14">
        <v>90244014</v>
      </c>
      <c r="P121" s="14">
        <v>111942288</v>
      </c>
      <c r="Q121" s="14">
        <v>92506069</v>
      </c>
      <c r="R121" s="14">
        <v>92602215</v>
      </c>
      <c r="S121" s="20">
        <v>76458331</v>
      </c>
      <c r="T121" s="20">
        <v>65819050</v>
      </c>
      <c r="U121" s="20">
        <v>88651626</v>
      </c>
      <c r="V121" s="20">
        <v>6978500</v>
      </c>
      <c r="W121" s="20">
        <v>5059300</v>
      </c>
      <c r="X121" s="20">
        <v>6498400</v>
      </c>
      <c r="Y121" s="20">
        <v>4117900</v>
      </c>
      <c r="Z121" s="20">
        <v>3987600</v>
      </c>
      <c r="AA121" s="19">
        <f t="shared" si="5"/>
        <v>-3.1642341970421817E-2</v>
      </c>
      <c r="AB121" s="19">
        <f t="shared" si="6"/>
        <v>-0.42858780540230712</v>
      </c>
    </row>
    <row r="122" spans="1:28" x14ac:dyDescent="0.4">
      <c r="A122" s="12" t="s">
        <v>2980</v>
      </c>
      <c r="B122" s="12" t="s">
        <v>2982</v>
      </c>
      <c r="C122" s="12" t="s">
        <v>2981</v>
      </c>
      <c r="D122" s="13" t="s">
        <v>45</v>
      </c>
      <c r="E122" s="18"/>
      <c r="F122" s="18"/>
      <c r="G122" s="18"/>
      <c r="H122" s="18"/>
      <c r="I122" s="14"/>
      <c r="J122" s="14"/>
      <c r="K122" s="14"/>
      <c r="L122" s="14"/>
      <c r="M122" s="14"/>
      <c r="N122" s="14">
        <f>37562+81739+3577+945</f>
        <v>123823</v>
      </c>
      <c r="O122" s="14">
        <f>27859+47543+3518+965</f>
        <v>79885</v>
      </c>
      <c r="P122" s="14">
        <f>25089+53514+3513+750</f>
        <v>82866</v>
      </c>
      <c r="Q122" s="14">
        <f>28520+75027+4983+749</f>
        <v>109279</v>
      </c>
      <c r="R122" s="14">
        <f>35483+85948+3057+713</f>
        <v>125201</v>
      </c>
      <c r="S122" s="20">
        <f>35531+69375+3150+1059</f>
        <v>109115</v>
      </c>
      <c r="T122" s="20">
        <f>16165+50207+3609+2091</f>
        <v>72072</v>
      </c>
      <c r="U122" s="20">
        <v>40858</v>
      </c>
      <c r="V122" s="20">
        <v>44323</v>
      </c>
      <c r="W122" s="20">
        <v>31353</v>
      </c>
      <c r="X122" s="20">
        <v>32579</v>
      </c>
      <c r="Y122" s="20">
        <v>35726</v>
      </c>
      <c r="Z122" s="20">
        <v>31545</v>
      </c>
      <c r="AA122" s="19">
        <f t="shared" si="5"/>
        <v>-0.11702961428651404</v>
      </c>
      <c r="AB122" s="19">
        <f t="shared" si="6"/>
        <v>-0.28829275996660875</v>
      </c>
    </row>
    <row r="123" spans="1:28" x14ac:dyDescent="0.4">
      <c r="A123" s="21" t="s">
        <v>183</v>
      </c>
      <c r="B123" s="12" t="s">
        <v>100</v>
      </c>
      <c r="C123" s="12" t="s">
        <v>184</v>
      </c>
      <c r="D123" s="13" t="s">
        <v>45</v>
      </c>
      <c r="E123" s="22">
        <v>205055</v>
      </c>
      <c r="F123" s="22">
        <v>206367</v>
      </c>
      <c r="G123" s="22">
        <v>250925</v>
      </c>
      <c r="H123" s="22">
        <v>332699</v>
      </c>
      <c r="I123" s="22">
        <v>286638</v>
      </c>
      <c r="J123" s="22">
        <v>473230</v>
      </c>
      <c r="K123" s="22">
        <v>486120</v>
      </c>
      <c r="L123" s="22">
        <v>426695</v>
      </c>
      <c r="M123" s="22">
        <v>369180</v>
      </c>
      <c r="N123" s="22">
        <v>418730</v>
      </c>
      <c r="O123" s="22">
        <v>486487</v>
      </c>
      <c r="P123" s="22">
        <v>482009</v>
      </c>
      <c r="Q123" s="22">
        <v>490699</v>
      </c>
      <c r="R123" s="22">
        <v>559998</v>
      </c>
      <c r="S123" s="22">
        <f>472825</f>
        <v>472825</v>
      </c>
      <c r="T123" s="22">
        <v>496005</v>
      </c>
      <c r="U123" s="22">
        <v>507446</v>
      </c>
      <c r="V123" s="22">
        <v>505583</v>
      </c>
      <c r="W123" s="22">
        <v>483798</v>
      </c>
      <c r="X123" s="22">
        <v>676368</v>
      </c>
      <c r="Y123" s="22">
        <v>595745</v>
      </c>
      <c r="Z123" s="22">
        <v>684444</v>
      </c>
      <c r="AA123" s="19">
        <f t="shared" si="5"/>
        <v>0.14888752738168165</v>
      </c>
      <c r="AB123" s="19">
        <f t="shared" si="6"/>
        <v>0.35377178425698652</v>
      </c>
    </row>
    <row r="124" spans="1:28" x14ac:dyDescent="0.4">
      <c r="A124" s="12" t="s">
        <v>3282</v>
      </c>
      <c r="B124" s="12" t="s">
        <v>54</v>
      </c>
      <c r="C124" s="12" t="s">
        <v>186</v>
      </c>
      <c r="D124" s="13" t="s">
        <v>45</v>
      </c>
      <c r="E124" s="12">
        <v>8157</v>
      </c>
      <c r="F124" s="12"/>
      <c r="G124" s="12">
        <v>12834</v>
      </c>
      <c r="H124" s="12">
        <v>30018</v>
      </c>
      <c r="I124" s="14">
        <v>34971</v>
      </c>
      <c r="J124" s="14">
        <v>40155</v>
      </c>
      <c r="K124" s="14">
        <v>41127</v>
      </c>
      <c r="L124" s="14">
        <v>35272</v>
      </c>
      <c r="M124" s="14">
        <v>21145</v>
      </c>
      <c r="N124" s="14">
        <v>21644</v>
      </c>
      <c r="O124" s="14">
        <v>16922</v>
      </c>
      <c r="P124" s="14">
        <v>15464</v>
      </c>
      <c r="Q124" s="14">
        <v>15801</v>
      </c>
      <c r="R124" s="14">
        <v>15636</v>
      </c>
      <c r="S124" s="14">
        <v>16868</v>
      </c>
      <c r="T124" s="14">
        <v>23497</v>
      </c>
      <c r="U124" s="14">
        <v>17694</v>
      </c>
      <c r="V124" s="14">
        <v>18151</v>
      </c>
      <c r="W124" s="14">
        <v>14453</v>
      </c>
      <c r="X124" s="14">
        <v>16402</v>
      </c>
      <c r="Y124" s="14">
        <v>14815</v>
      </c>
      <c r="Z124" s="14">
        <v>29322</v>
      </c>
      <c r="AA124" s="19">
        <f t="shared" si="5"/>
        <v>0.97921025987175159</v>
      </c>
      <c r="AB124" s="19">
        <f t="shared" si="6"/>
        <v>0.61544818467302087</v>
      </c>
    </row>
    <row r="125" spans="1:28" x14ac:dyDescent="0.4">
      <c r="A125" s="21" t="s">
        <v>187</v>
      </c>
      <c r="B125" s="21" t="s">
        <v>57</v>
      </c>
      <c r="C125" s="21" t="s">
        <v>188</v>
      </c>
      <c r="D125" s="13" t="s">
        <v>45</v>
      </c>
      <c r="E125" s="22">
        <v>14221</v>
      </c>
      <c r="F125" s="22">
        <v>26777</v>
      </c>
      <c r="G125" s="22">
        <v>33185</v>
      </c>
      <c r="H125" s="22">
        <v>33553</v>
      </c>
      <c r="I125" s="22">
        <v>20946</v>
      </c>
      <c r="J125" s="22">
        <v>63089</v>
      </c>
      <c r="K125" s="22">
        <v>83474</v>
      </c>
      <c r="L125" s="22">
        <v>71260</v>
      </c>
      <c r="M125" s="22">
        <v>43673</v>
      </c>
      <c r="N125" s="22">
        <v>73515</v>
      </c>
      <c r="O125" s="22">
        <v>69650</v>
      </c>
      <c r="P125" s="22">
        <v>66177</v>
      </c>
      <c r="Q125" s="22">
        <v>43673</v>
      </c>
      <c r="R125" s="22">
        <v>85271</v>
      </c>
      <c r="S125" s="22">
        <v>82984</v>
      </c>
      <c r="T125" s="22">
        <v>75357</v>
      </c>
      <c r="U125" s="22">
        <v>61225</v>
      </c>
      <c r="V125" s="22">
        <v>89298</v>
      </c>
      <c r="W125" s="22">
        <v>69260</v>
      </c>
      <c r="X125" s="22">
        <v>64532</v>
      </c>
      <c r="Y125" s="22">
        <v>63633</v>
      </c>
      <c r="Z125" s="22">
        <v>87133</v>
      </c>
      <c r="AA125" s="19">
        <f t="shared" si="5"/>
        <v>0.369305234705263</v>
      </c>
      <c r="AB125" s="19">
        <f t="shared" si="6"/>
        <v>-2.4244663934242627E-2</v>
      </c>
    </row>
    <row r="126" spans="1:28" x14ac:dyDescent="0.4">
      <c r="A126" s="12" t="s">
        <v>189</v>
      </c>
      <c r="B126" s="12" t="s">
        <v>43</v>
      </c>
      <c r="C126" s="12" t="s">
        <v>176</v>
      </c>
      <c r="D126" s="13" t="s">
        <v>190</v>
      </c>
      <c r="E126" s="12">
        <v>450</v>
      </c>
      <c r="F126" s="12">
        <v>605</v>
      </c>
      <c r="G126" s="12">
        <v>593</v>
      </c>
      <c r="H126" s="12">
        <v>617</v>
      </c>
      <c r="I126" s="12">
        <v>414</v>
      </c>
      <c r="J126" s="14">
        <v>595</v>
      </c>
      <c r="K126" s="14">
        <v>779</v>
      </c>
      <c r="L126" s="14">
        <v>648.5</v>
      </c>
      <c r="M126" s="14">
        <v>565</v>
      </c>
      <c r="N126" s="14">
        <v>736</v>
      </c>
      <c r="O126" s="14">
        <v>646</v>
      </c>
      <c r="P126" s="14">
        <v>1028</v>
      </c>
      <c r="Q126" s="14">
        <f>861+1053</f>
        <v>1914</v>
      </c>
      <c r="R126" s="14">
        <f>893+928</f>
        <v>1821</v>
      </c>
      <c r="S126" s="14">
        <f>903+728</f>
        <v>1631</v>
      </c>
      <c r="T126" s="14">
        <f>873+544</f>
        <v>1417</v>
      </c>
      <c r="U126" s="14">
        <f>952+402</f>
        <v>1354</v>
      </c>
      <c r="V126" s="14">
        <f>710+240</f>
        <v>950</v>
      </c>
      <c r="W126" s="14">
        <f>807+206</f>
        <v>1013</v>
      </c>
      <c r="X126" s="14">
        <f>837+72</f>
        <v>909</v>
      </c>
      <c r="Y126" s="14">
        <f>1147+31</f>
        <v>1178</v>
      </c>
      <c r="Z126" s="14">
        <f>1023+27</f>
        <v>1050</v>
      </c>
      <c r="AA126" s="19">
        <f t="shared" si="5"/>
        <v>-0.10865874363327677</v>
      </c>
      <c r="AB126" s="19">
        <f t="shared" si="6"/>
        <v>0.10526315789473695</v>
      </c>
    </row>
    <row r="127" spans="1:28" x14ac:dyDescent="0.4">
      <c r="A127" s="21" t="s">
        <v>3367</v>
      </c>
      <c r="B127" s="12" t="s">
        <v>54</v>
      </c>
      <c r="C127" s="12" t="s">
        <v>192</v>
      </c>
      <c r="D127" s="13" t="s">
        <v>3368</v>
      </c>
      <c r="E127" s="12"/>
      <c r="F127" s="12"/>
      <c r="G127" s="18"/>
      <c r="H127" s="18"/>
      <c r="I127" s="18"/>
      <c r="J127" s="14"/>
      <c r="K127" s="14"/>
      <c r="L127" s="14"/>
      <c r="M127" s="14"/>
      <c r="N127" s="14">
        <v>175762</v>
      </c>
      <c r="O127" s="14">
        <v>19264</v>
      </c>
      <c r="P127" s="14">
        <v>26184</v>
      </c>
      <c r="Q127" s="14">
        <v>24121</v>
      </c>
      <c r="R127" s="14">
        <v>23363</v>
      </c>
      <c r="S127" s="14">
        <v>69384</v>
      </c>
      <c r="T127" s="14">
        <v>15880</v>
      </c>
      <c r="U127" s="14">
        <v>31325</v>
      </c>
      <c r="V127" s="14">
        <v>39200</v>
      </c>
      <c r="W127" s="14">
        <v>81964</v>
      </c>
      <c r="X127" s="14">
        <v>113111</v>
      </c>
      <c r="Y127" s="14">
        <v>248867</v>
      </c>
      <c r="Z127" s="14">
        <v>364814</v>
      </c>
      <c r="AA127" s="19">
        <f t="shared" si="5"/>
        <v>0.46589945633611518</v>
      </c>
      <c r="AB127" s="19">
        <f t="shared" si="6"/>
        <v>8.3064795918367356</v>
      </c>
    </row>
    <row r="128" spans="1:28" x14ac:dyDescent="0.4">
      <c r="A128" s="21" t="s">
        <v>191</v>
      </c>
      <c r="B128" s="12" t="s">
        <v>54</v>
      </c>
      <c r="C128" s="12" t="s">
        <v>192</v>
      </c>
      <c r="D128" s="13" t="s">
        <v>193</v>
      </c>
      <c r="E128" s="12">
        <v>53473</v>
      </c>
      <c r="F128" s="12">
        <v>58804</v>
      </c>
      <c r="G128" s="18">
        <v>63259</v>
      </c>
      <c r="H128" s="18">
        <v>82084</v>
      </c>
      <c r="I128" s="18">
        <v>90207</v>
      </c>
      <c r="J128" s="14">
        <v>108120</v>
      </c>
      <c r="K128" s="14">
        <v>122321</v>
      </c>
      <c r="L128" s="14">
        <v>105229</v>
      </c>
      <c r="M128" s="14">
        <v>78653</v>
      </c>
      <c r="N128" s="14">
        <v>86826</v>
      </c>
      <c r="O128" s="14">
        <v>56056</v>
      </c>
      <c r="P128" s="14">
        <v>79958</v>
      </c>
      <c r="Q128" s="14">
        <v>70858</v>
      </c>
      <c r="R128" s="14">
        <v>63264</v>
      </c>
      <c r="S128" s="14">
        <v>59902</v>
      </c>
      <c r="T128" s="14">
        <v>62731</v>
      </c>
      <c r="U128" s="14">
        <v>53639</v>
      </c>
      <c r="V128" s="14">
        <v>102432</v>
      </c>
      <c r="W128" s="14" t="s">
        <v>3281</v>
      </c>
      <c r="X128" s="14" t="s">
        <v>3281</v>
      </c>
      <c r="Y128" s="14" t="s">
        <v>3281</v>
      </c>
      <c r="Z128" s="14" t="s">
        <v>3281</v>
      </c>
      <c r="AA128" s="19" t="e">
        <f t="shared" si="5"/>
        <v>#VALUE!</v>
      </c>
      <c r="AB128" s="19" t="e">
        <f t="shared" si="6"/>
        <v>#VALUE!</v>
      </c>
    </row>
    <row r="129" spans="1:28" x14ac:dyDescent="0.4">
      <c r="A129" s="21" t="s">
        <v>194</v>
      </c>
      <c r="B129" s="12" t="s">
        <v>54</v>
      </c>
      <c r="C129" s="12" t="s">
        <v>195</v>
      </c>
      <c r="D129" s="13" t="s">
        <v>48</v>
      </c>
      <c r="E129" s="22">
        <v>546</v>
      </c>
      <c r="F129" s="22">
        <v>592.4</v>
      </c>
      <c r="G129" s="22">
        <v>571.79999999999995</v>
      </c>
      <c r="H129" s="22">
        <v>710.3</v>
      </c>
      <c r="I129" s="22">
        <v>911.7</v>
      </c>
      <c r="J129" s="22">
        <v>1200.4000000000001</v>
      </c>
      <c r="K129" s="22">
        <v>1165</v>
      </c>
      <c r="L129" s="22">
        <v>969</v>
      </c>
      <c r="M129" s="22">
        <v>951.3</v>
      </c>
      <c r="N129" s="22">
        <v>757.5</v>
      </c>
      <c r="O129" s="22">
        <v>677.1</v>
      </c>
      <c r="P129" s="22">
        <v>846.2</v>
      </c>
      <c r="Q129" s="22">
        <v>718</v>
      </c>
      <c r="R129" s="22">
        <v>821</v>
      </c>
      <c r="S129" s="22">
        <v>853.2</v>
      </c>
      <c r="T129" s="22">
        <v>873.5</v>
      </c>
      <c r="U129" s="22">
        <v>823.8</v>
      </c>
      <c r="V129" s="22">
        <v>717.1</v>
      </c>
      <c r="W129" s="22">
        <v>686.6</v>
      </c>
      <c r="X129" s="22">
        <v>684.3</v>
      </c>
      <c r="Y129" s="22">
        <v>905</v>
      </c>
      <c r="Z129" s="22">
        <v>973.8</v>
      </c>
      <c r="AA129" s="19">
        <f t="shared" si="5"/>
        <v>7.6022099447513813E-2</v>
      </c>
      <c r="AB129" s="19">
        <f t="shared" si="6"/>
        <v>0.35796959977687903</v>
      </c>
    </row>
    <row r="130" spans="1:28" x14ac:dyDescent="0.4">
      <c r="A130" s="21" t="s">
        <v>196</v>
      </c>
      <c r="B130" s="21" t="s">
        <v>54</v>
      </c>
      <c r="C130" s="21" t="s">
        <v>197</v>
      </c>
      <c r="D130" s="13" t="s">
        <v>45</v>
      </c>
      <c r="E130" s="22">
        <v>113100</v>
      </c>
      <c r="F130" s="22">
        <v>129777</v>
      </c>
      <c r="G130" s="22">
        <v>182394</v>
      </c>
      <c r="H130" s="22">
        <v>246043</v>
      </c>
      <c r="I130" s="22">
        <v>258604</v>
      </c>
      <c r="J130" s="22">
        <v>306038</v>
      </c>
      <c r="K130" s="22">
        <v>282263</v>
      </c>
      <c r="L130" s="22">
        <v>233363</v>
      </c>
      <c r="M130" s="22">
        <v>303583</v>
      </c>
      <c r="N130" s="22">
        <v>258243</v>
      </c>
      <c r="O130" s="22">
        <v>246814</v>
      </c>
      <c r="P130" s="22">
        <v>253883</v>
      </c>
      <c r="Q130" s="22">
        <v>288728</v>
      </c>
      <c r="R130" s="22">
        <v>252007</v>
      </c>
      <c r="S130" s="22">
        <v>219644</v>
      </c>
      <c r="T130" s="22">
        <v>216598</v>
      </c>
      <c r="U130" s="22">
        <v>231119</v>
      </c>
      <c r="V130" s="22">
        <v>149604</v>
      </c>
      <c r="W130" s="22">
        <v>117903</v>
      </c>
      <c r="X130" s="22">
        <v>110427</v>
      </c>
      <c r="Y130" s="22">
        <v>97784</v>
      </c>
      <c r="Z130" s="22">
        <v>74658</v>
      </c>
      <c r="AA130" s="19">
        <f t="shared" si="5"/>
        <v>-0.23650085903624318</v>
      </c>
      <c r="AB130" s="19">
        <f t="shared" si="6"/>
        <v>-0.50096254110852656</v>
      </c>
    </row>
    <row r="131" spans="1:28" x14ac:dyDescent="0.4">
      <c r="A131" s="21" t="s">
        <v>198</v>
      </c>
      <c r="B131" s="12" t="s">
        <v>54</v>
      </c>
      <c r="C131" s="12" t="s">
        <v>199</v>
      </c>
      <c r="D131" s="13" t="s">
        <v>68</v>
      </c>
      <c r="E131" s="22">
        <v>47957225</v>
      </c>
      <c r="F131" s="22">
        <v>16544313</v>
      </c>
      <c r="G131" s="22">
        <v>81298245</v>
      </c>
      <c r="H131" s="22">
        <v>49368061</v>
      </c>
      <c r="I131" s="22">
        <v>110708492</v>
      </c>
      <c r="J131" s="22">
        <v>74351187</v>
      </c>
      <c r="K131" s="22">
        <v>139147420</v>
      </c>
      <c r="L131" s="22">
        <v>177294955</v>
      </c>
      <c r="M131" s="22">
        <v>155857623</v>
      </c>
      <c r="N131" s="22">
        <v>126064476</v>
      </c>
      <c r="O131" s="22">
        <v>86960833</v>
      </c>
      <c r="P131" s="22">
        <v>79140425</v>
      </c>
      <c r="Q131" s="22">
        <v>73007174</v>
      </c>
      <c r="R131" s="22">
        <v>48505140</v>
      </c>
      <c r="S131" s="22">
        <v>72565536</v>
      </c>
      <c r="T131" s="22">
        <v>89751712</v>
      </c>
      <c r="U131" s="22">
        <v>84406992</v>
      </c>
      <c r="V131" s="22">
        <v>85328557</v>
      </c>
      <c r="W131" s="185">
        <v>68832516</v>
      </c>
      <c r="X131" s="185">
        <v>76873118</v>
      </c>
      <c r="Y131" s="185">
        <v>95645534</v>
      </c>
      <c r="Z131" s="185">
        <v>126637633</v>
      </c>
      <c r="AA131" s="19">
        <f t="shared" si="5"/>
        <v>0.32403080106176207</v>
      </c>
      <c r="AB131" s="19">
        <f t="shared" si="6"/>
        <v>0.48411783173598022</v>
      </c>
    </row>
    <row r="132" spans="1:28" x14ac:dyDescent="0.4">
      <c r="A132" s="12" t="s">
        <v>200</v>
      </c>
      <c r="B132" s="12" t="s">
        <v>100</v>
      </c>
      <c r="C132" s="12" t="s">
        <v>201</v>
      </c>
      <c r="D132" s="13" t="s">
        <v>45</v>
      </c>
      <c r="E132" s="18">
        <v>2630653</v>
      </c>
      <c r="F132" s="18">
        <v>2701322</v>
      </c>
      <c r="G132" s="18">
        <v>2625409</v>
      </c>
      <c r="H132" s="18">
        <v>2803633</v>
      </c>
      <c r="I132" s="18">
        <v>2775606</v>
      </c>
      <c r="J132" s="14">
        <v>2537005</v>
      </c>
      <c r="K132" s="14">
        <v>2413183</v>
      </c>
      <c r="L132" s="14">
        <v>1984982</v>
      </c>
      <c r="M132" s="14">
        <v>2117618</v>
      </c>
      <c r="N132" s="14">
        <v>1947956</v>
      </c>
      <c r="O132" s="14">
        <v>1811098</v>
      </c>
      <c r="P132" s="14">
        <v>1658759</v>
      </c>
      <c r="Q132" s="14">
        <v>1459693</v>
      </c>
      <c r="R132" s="14">
        <v>1295834</v>
      </c>
      <c r="S132" s="14">
        <v>1278313</v>
      </c>
      <c r="T132" s="14">
        <v>1310070</v>
      </c>
      <c r="U132" s="14">
        <v>1297772</v>
      </c>
      <c r="V132" s="14">
        <v>1436182</v>
      </c>
      <c r="W132" s="14">
        <v>1519435</v>
      </c>
      <c r="X132" s="14">
        <v>1561525</v>
      </c>
      <c r="Y132" s="14">
        <v>1851819</v>
      </c>
      <c r="Z132" s="14">
        <v>1952635</v>
      </c>
      <c r="AA132" s="19">
        <f t="shared" si="5"/>
        <v>5.4441605794086856E-2</v>
      </c>
      <c r="AB132" s="19">
        <f t="shared" si="6"/>
        <v>0.35960135971624774</v>
      </c>
    </row>
    <row r="133" spans="1:28" x14ac:dyDescent="0.4">
      <c r="A133" s="12" t="s">
        <v>202</v>
      </c>
      <c r="B133" s="12" t="s">
        <v>100</v>
      </c>
      <c r="C133" s="12" t="s">
        <v>203</v>
      </c>
      <c r="D133" s="13" t="s">
        <v>45</v>
      </c>
      <c r="E133" s="14">
        <v>49730</v>
      </c>
      <c r="F133" s="14">
        <v>74073</v>
      </c>
      <c r="G133" s="14">
        <v>81244</v>
      </c>
      <c r="H133" s="14">
        <v>89115</v>
      </c>
      <c r="I133" s="14">
        <v>80348</v>
      </c>
      <c r="J133" s="14">
        <v>90975</v>
      </c>
      <c r="K133" s="14">
        <v>110144</v>
      </c>
      <c r="L133" s="14">
        <v>86193</v>
      </c>
      <c r="M133" s="14">
        <v>103317</v>
      </c>
      <c r="N133" s="14">
        <v>110371</v>
      </c>
      <c r="O133" s="14">
        <v>189812</v>
      </c>
      <c r="P133" s="14">
        <v>163291</v>
      </c>
      <c r="Q133" s="14">
        <v>203791</v>
      </c>
      <c r="R133" s="14">
        <v>219029</v>
      </c>
      <c r="S133" s="14">
        <v>151988</v>
      </c>
      <c r="T133" s="14">
        <v>101483</v>
      </c>
      <c r="U133" s="14">
        <v>155799</v>
      </c>
      <c r="V133" s="14">
        <v>116090</v>
      </c>
      <c r="W133" s="14">
        <v>107183</v>
      </c>
      <c r="X133" s="14">
        <v>90260</v>
      </c>
      <c r="Y133" s="14">
        <v>97713</v>
      </c>
      <c r="Z133" s="14">
        <v>128148</v>
      </c>
      <c r="AA133" s="19">
        <f t="shared" si="5"/>
        <v>0.31147339657977957</v>
      </c>
      <c r="AB133" s="19">
        <f t="shared" si="6"/>
        <v>0.10386768886208975</v>
      </c>
    </row>
    <row r="134" spans="1:28" x14ac:dyDescent="0.4">
      <c r="A134" s="21" t="s">
        <v>204</v>
      </c>
      <c r="B134" s="12" t="s">
        <v>54</v>
      </c>
      <c r="C134" s="12" t="s">
        <v>205</v>
      </c>
      <c r="D134" s="13" t="s">
        <v>45</v>
      </c>
      <c r="E134" s="22">
        <v>40462</v>
      </c>
      <c r="F134" s="22">
        <v>86995</v>
      </c>
      <c r="G134" s="22">
        <v>26569</v>
      </c>
      <c r="H134" s="22">
        <v>15104</v>
      </c>
      <c r="I134" s="22">
        <v>55769</v>
      </c>
      <c r="J134" s="22">
        <v>60957</v>
      </c>
      <c r="K134" s="22">
        <v>71937</v>
      </c>
      <c r="L134" s="22">
        <v>52875</v>
      </c>
      <c r="M134" s="22">
        <v>34193</v>
      </c>
      <c r="N134" s="22">
        <v>35602</v>
      </c>
      <c r="O134" s="22">
        <v>5481</v>
      </c>
      <c r="P134" s="22">
        <v>11459</v>
      </c>
      <c r="Q134" s="22">
        <v>9237</v>
      </c>
      <c r="R134" s="22">
        <v>22237</v>
      </c>
      <c r="S134" s="22">
        <v>46000</v>
      </c>
      <c r="T134" s="14">
        <v>48835</v>
      </c>
      <c r="U134" s="14">
        <v>24383</v>
      </c>
      <c r="V134" s="14">
        <v>55167</v>
      </c>
      <c r="W134" s="14">
        <v>56313</v>
      </c>
      <c r="X134" s="14">
        <v>78264</v>
      </c>
      <c r="Y134" s="14">
        <v>41221</v>
      </c>
      <c r="Z134" s="14">
        <v>145538</v>
      </c>
      <c r="AA134" s="19">
        <f t="shared" si="5"/>
        <v>2.5306761116906431</v>
      </c>
      <c r="AB134" s="19">
        <f t="shared" si="6"/>
        <v>1.6381351170083565</v>
      </c>
    </row>
    <row r="135" spans="1:28" x14ac:dyDescent="0.4">
      <c r="A135" s="12" t="s">
        <v>206</v>
      </c>
      <c r="B135" s="12" t="s">
        <v>138</v>
      </c>
      <c r="C135" s="12" t="s">
        <v>207</v>
      </c>
      <c r="D135" s="13" t="s">
        <v>45</v>
      </c>
      <c r="E135" s="14">
        <v>26661</v>
      </c>
      <c r="F135" s="14">
        <v>25054</v>
      </c>
      <c r="G135" s="14">
        <v>21098</v>
      </c>
      <c r="H135" s="14">
        <v>21782</v>
      </c>
      <c r="I135" s="14">
        <v>35005</v>
      </c>
      <c r="J135" s="14">
        <v>31808</v>
      </c>
      <c r="K135" s="14">
        <v>31264</v>
      </c>
      <c r="L135" s="14">
        <v>21229</v>
      </c>
      <c r="M135" s="14">
        <v>26161</v>
      </c>
      <c r="N135" s="14">
        <v>18031</v>
      </c>
      <c r="O135" s="14">
        <v>20243</v>
      </c>
      <c r="P135" s="14">
        <v>27337</v>
      </c>
      <c r="Q135" s="14">
        <v>34023</v>
      </c>
      <c r="R135" s="14">
        <v>27965</v>
      </c>
      <c r="S135" s="14">
        <v>29352</v>
      </c>
      <c r="T135" s="14">
        <v>29990</v>
      </c>
      <c r="U135" s="14">
        <v>36000</v>
      </c>
      <c r="V135" s="20">
        <v>31117</v>
      </c>
      <c r="W135" s="20">
        <v>30942</v>
      </c>
      <c r="X135" s="20">
        <v>29278</v>
      </c>
      <c r="Y135" s="20">
        <v>37057</v>
      </c>
      <c r="Z135" s="20">
        <v>31297</v>
      </c>
      <c r="AA135" s="19">
        <f t="shared" si="5"/>
        <v>-0.15543621987748601</v>
      </c>
      <c r="AB135" s="19">
        <f t="shared" si="6"/>
        <v>5.7846193399107015E-3</v>
      </c>
    </row>
    <row r="136" spans="1:28" x14ac:dyDescent="0.4">
      <c r="A136" s="12" t="s">
        <v>208</v>
      </c>
      <c r="B136" s="12" t="s">
        <v>54</v>
      </c>
      <c r="C136" s="12" t="s">
        <v>209</v>
      </c>
      <c r="D136" s="13" t="s">
        <v>45</v>
      </c>
      <c r="E136" s="14">
        <v>10034</v>
      </c>
      <c r="F136" s="14">
        <v>8208</v>
      </c>
      <c r="G136" s="14">
        <v>14032</v>
      </c>
      <c r="H136" s="14">
        <v>17332</v>
      </c>
      <c r="I136" s="14">
        <v>27516</v>
      </c>
      <c r="J136" s="14">
        <v>51950</v>
      </c>
      <c r="K136" s="14">
        <v>71813</v>
      </c>
      <c r="L136" s="14">
        <v>48472</v>
      </c>
      <c r="M136" s="14">
        <v>60483</v>
      </c>
      <c r="N136" s="14">
        <v>66540</v>
      </c>
      <c r="O136" s="14">
        <v>34214</v>
      </c>
      <c r="P136" s="14">
        <v>30614</v>
      </c>
      <c r="Q136" s="14">
        <v>58755</v>
      </c>
      <c r="R136" s="14">
        <v>22474</v>
      </c>
      <c r="S136" s="14">
        <v>25435</v>
      </c>
      <c r="T136" s="14">
        <v>27272</v>
      </c>
      <c r="U136" s="14">
        <v>11670</v>
      </c>
      <c r="V136" s="14">
        <v>0</v>
      </c>
      <c r="W136" s="14">
        <v>11855</v>
      </c>
      <c r="X136" s="14">
        <v>15214</v>
      </c>
      <c r="Y136" s="14">
        <v>7736</v>
      </c>
      <c r="Z136" s="14">
        <v>25748</v>
      </c>
      <c r="AA136" s="19">
        <f t="shared" si="5"/>
        <v>2.3283350568769392</v>
      </c>
      <c r="AB136" s="19" t="e">
        <f t="shared" si="6"/>
        <v>#DIV/0!</v>
      </c>
    </row>
    <row r="137" spans="1:28" x14ac:dyDescent="0.4">
      <c r="A137" s="12" t="s">
        <v>210</v>
      </c>
      <c r="B137" s="12" t="s">
        <v>54</v>
      </c>
      <c r="C137" s="12" t="s">
        <v>211</v>
      </c>
      <c r="D137" s="13" t="s">
        <v>45</v>
      </c>
      <c r="E137" s="14"/>
      <c r="F137" s="14"/>
      <c r="G137" s="14"/>
      <c r="H137" s="14"/>
      <c r="I137" s="14">
        <v>65821</v>
      </c>
      <c r="J137" s="14">
        <v>60298</v>
      </c>
      <c r="K137" s="14">
        <v>57980</v>
      </c>
      <c r="L137" s="14">
        <v>58899</v>
      </c>
      <c r="M137" s="14">
        <v>58612</v>
      </c>
      <c r="N137" s="14">
        <v>67626</v>
      </c>
      <c r="O137" s="14">
        <v>70114</v>
      </c>
      <c r="P137" s="14">
        <v>55527</v>
      </c>
      <c r="Q137" s="14">
        <v>66981</v>
      </c>
      <c r="R137" s="14">
        <v>59490</v>
      </c>
      <c r="S137" s="14">
        <v>63390</v>
      </c>
      <c r="T137" s="14">
        <v>61234</v>
      </c>
      <c r="U137" s="14">
        <v>148764</v>
      </c>
      <c r="V137" s="14">
        <v>174406</v>
      </c>
      <c r="W137" s="14">
        <v>138140</v>
      </c>
      <c r="X137" s="14">
        <v>72366</v>
      </c>
      <c r="Y137" s="14">
        <v>57754</v>
      </c>
      <c r="Z137" s="14">
        <v>230255</v>
      </c>
      <c r="AA137" s="19">
        <f t="shared" si="5"/>
        <v>2.9868234234858191</v>
      </c>
      <c r="AB137" s="19">
        <f t="shared" si="6"/>
        <v>0.32022407485980997</v>
      </c>
    </row>
    <row r="138" spans="1:28" x14ac:dyDescent="0.4">
      <c r="A138" s="21" t="s">
        <v>212</v>
      </c>
      <c r="B138" s="12" t="s">
        <v>78</v>
      </c>
      <c r="C138" s="12" t="s">
        <v>213</v>
      </c>
      <c r="D138" s="13" t="s">
        <v>45</v>
      </c>
      <c r="E138" s="22"/>
      <c r="F138" s="22"/>
      <c r="G138" s="22">
        <v>49775</v>
      </c>
      <c r="H138" s="22">
        <v>35297</v>
      </c>
      <c r="I138" s="22">
        <v>103497</v>
      </c>
      <c r="J138" s="22">
        <v>105761</v>
      </c>
      <c r="K138" s="22">
        <v>59404</v>
      </c>
      <c r="L138" s="22">
        <v>37733</v>
      </c>
      <c r="M138" s="22">
        <v>47324</v>
      </c>
      <c r="N138" s="22">
        <v>51138</v>
      </c>
      <c r="O138" s="22">
        <v>114855</v>
      </c>
      <c r="P138" s="22">
        <v>98429</v>
      </c>
      <c r="Q138" s="22">
        <v>92966</v>
      </c>
      <c r="R138" s="22">
        <v>171784</v>
      </c>
      <c r="S138" s="22">
        <v>161629</v>
      </c>
      <c r="T138" s="22">
        <v>130828</v>
      </c>
      <c r="U138" s="22">
        <v>158701</v>
      </c>
      <c r="V138" s="22">
        <v>149315</v>
      </c>
      <c r="W138" s="22">
        <v>81012</v>
      </c>
      <c r="X138" s="22">
        <v>105103</v>
      </c>
      <c r="Y138" s="22">
        <v>168477</v>
      </c>
      <c r="Z138" s="22">
        <v>179625</v>
      </c>
      <c r="AA138" s="19">
        <f t="shared" si="5"/>
        <v>6.6169269395822683E-2</v>
      </c>
      <c r="AB138" s="19">
        <f t="shared" si="6"/>
        <v>0.20299367109801425</v>
      </c>
    </row>
    <row r="139" spans="1:28" x14ac:dyDescent="0.4">
      <c r="A139" s="21" t="s">
        <v>214</v>
      </c>
      <c r="B139" s="12" t="s">
        <v>78</v>
      </c>
      <c r="C139" s="12" t="s">
        <v>215</v>
      </c>
      <c r="D139" s="13" t="s">
        <v>45</v>
      </c>
      <c r="E139" s="22">
        <v>27272</v>
      </c>
      <c r="F139" s="22">
        <v>27675</v>
      </c>
      <c r="G139" s="22">
        <v>34271</v>
      </c>
      <c r="H139" s="22">
        <v>23905</v>
      </c>
      <c r="I139" s="22">
        <v>33724</v>
      </c>
      <c r="J139" s="22">
        <v>51051</v>
      </c>
      <c r="K139" s="22">
        <v>55620</v>
      </c>
      <c r="L139" s="22">
        <v>62771</v>
      </c>
      <c r="M139" s="22">
        <v>45238</v>
      </c>
      <c r="N139" s="22">
        <v>33652</v>
      </c>
      <c r="O139" s="22">
        <v>84632</v>
      </c>
      <c r="P139" s="22">
        <v>79128</v>
      </c>
      <c r="Q139" s="22">
        <v>70945</v>
      </c>
      <c r="R139" s="22">
        <v>100045</v>
      </c>
      <c r="S139" s="22">
        <v>73821</v>
      </c>
      <c r="T139" s="22">
        <v>86930</v>
      </c>
      <c r="U139" s="22">
        <v>528042</v>
      </c>
      <c r="V139" s="22">
        <v>532929</v>
      </c>
      <c r="W139" s="22">
        <v>372838</v>
      </c>
      <c r="X139" s="22">
        <v>307259</v>
      </c>
      <c r="Y139" s="22">
        <v>95980</v>
      </c>
      <c r="Z139" s="22">
        <v>582273</v>
      </c>
      <c r="AA139" s="19">
        <f t="shared" si="5"/>
        <v>5.0666076265888726</v>
      </c>
      <c r="AB139" s="19">
        <f t="shared" si="6"/>
        <v>9.2590194941539972E-2</v>
      </c>
    </row>
    <row r="140" spans="1:28" x14ac:dyDescent="0.4">
      <c r="A140" s="12" t="s">
        <v>216</v>
      </c>
      <c r="B140" s="12" t="s">
        <v>78</v>
      </c>
      <c r="C140" s="12" t="s">
        <v>217</v>
      </c>
      <c r="D140" s="13" t="s">
        <v>45</v>
      </c>
      <c r="E140" s="12">
        <v>78511</v>
      </c>
      <c r="F140" s="12">
        <v>88065</v>
      </c>
      <c r="G140" s="18">
        <v>57599</v>
      </c>
      <c r="H140" s="12">
        <v>46366</v>
      </c>
      <c r="I140" s="14">
        <v>38078</v>
      </c>
      <c r="J140" s="14">
        <v>64256</v>
      </c>
      <c r="K140" s="14">
        <v>60229</v>
      </c>
      <c r="L140" s="14">
        <v>38159</v>
      </c>
      <c r="M140" s="14">
        <v>26006</v>
      </c>
      <c r="N140" s="14">
        <v>36472</v>
      </c>
      <c r="O140" s="14">
        <v>25240</v>
      </c>
      <c r="P140" s="14">
        <v>47191</v>
      </c>
      <c r="Q140" s="14">
        <v>45868</v>
      </c>
      <c r="R140" s="14">
        <v>47676</v>
      </c>
      <c r="S140" s="14">
        <v>45880</v>
      </c>
      <c r="T140" s="14">
        <v>17445</v>
      </c>
      <c r="U140" s="14">
        <v>58063</v>
      </c>
      <c r="V140" s="22">
        <v>34070</v>
      </c>
      <c r="W140" s="22">
        <v>17613</v>
      </c>
      <c r="X140" s="22">
        <v>26533</v>
      </c>
      <c r="Y140" s="22">
        <v>28555.191999999999</v>
      </c>
      <c r="Z140" s="22">
        <v>26560</v>
      </c>
      <c r="AA140" s="19">
        <f t="shared" si="5"/>
        <v>-6.987142653427092E-2</v>
      </c>
      <c r="AB140" s="19">
        <f t="shared" si="6"/>
        <v>-0.22042852949809222</v>
      </c>
    </row>
    <row r="141" spans="1:28" x14ac:dyDescent="0.4">
      <c r="A141" s="21" t="s">
        <v>218</v>
      </c>
      <c r="B141" s="12" t="s">
        <v>54</v>
      </c>
      <c r="C141" s="12" t="s">
        <v>219</v>
      </c>
      <c r="D141" s="13" t="s">
        <v>68</v>
      </c>
      <c r="E141" s="22">
        <v>32068069</v>
      </c>
      <c r="F141" s="22">
        <v>49247261</v>
      </c>
      <c r="G141" s="22">
        <v>33577333</v>
      </c>
      <c r="H141" s="22">
        <v>22388369</v>
      </c>
      <c r="I141" s="22">
        <v>25065141</v>
      </c>
      <c r="J141" s="22">
        <v>58317743</v>
      </c>
      <c r="K141" s="14">
        <v>60391142</v>
      </c>
      <c r="L141" s="14">
        <v>43137354</v>
      </c>
      <c r="M141" s="14">
        <v>38481438</v>
      </c>
      <c r="N141" s="14">
        <v>3819500</v>
      </c>
      <c r="O141" s="14">
        <v>35797590</v>
      </c>
      <c r="P141" s="14">
        <v>32779902</v>
      </c>
      <c r="Q141" s="14">
        <v>36550821</v>
      </c>
      <c r="R141" s="14">
        <v>29496749</v>
      </c>
      <c r="S141" s="14">
        <v>25267358</v>
      </c>
      <c r="T141" s="14">
        <v>22714697</v>
      </c>
      <c r="U141" s="14">
        <v>28369869</v>
      </c>
      <c r="V141" s="14">
        <v>52040427</v>
      </c>
      <c r="W141" s="14">
        <v>29467045</v>
      </c>
      <c r="X141" s="14">
        <v>34349946</v>
      </c>
      <c r="Y141" s="14">
        <v>34076964</v>
      </c>
      <c r="Z141" s="14">
        <v>49197990</v>
      </c>
      <c r="AA141" s="19">
        <f t="shared" si="5"/>
        <v>0.44373160707626425</v>
      </c>
      <c r="AB141" s="19">
        <f t="shared" si="6"/>
        <v>-5.4619786267318671E-2</v>
      </c>
    </row>
    <row r="142" spans="1:28" x14ac:dyDescent="0.4">
      <c r="A142" s="21" t="s">
        <v>220</v>
      </c>
      <c r="B142" s="12" t="s">
        <v>54</v>
      </c>
      <c r="C142" s="12" t="s">
        <v>219</v>
      </c>
      <c r="D142" s="13" t="s">
        <v>48</v>
      </c>
      <c r="E142" s="22"/>
      <c r="F142" s="22"/>
      <c r="G142" s="22">
        <v>378</v>
      </c>
      <c r="H142" s="22">
        <v>602</v>
      </c>
      <c r="I142" s="22">
        <v>284</v>
      </c>
      <c r="J142" s="22">
        <v>716</v>
      </c>
      <c r="K142" s="22">
        <v>1034</v>
      </c>
      <c r="L142" s="22">
        <v>647</v>
      </c>
      <c r="M142" s="22">
        <v>502</v>
      </c>
      <c r="N142" s="22">
        <v>509</v>
      </c>
      <c r="O142" s="22">
        <v>452</v>
      </c>
      <c r="P142" s="22">
        <v>667</v>
      </c>
      <c r="Q142" s="22">
        <v>315</v>
      </c>
      <c r="R142" s="22">
        <v>578</v>
      </c>
      <c r="S142" s="22">
        <v>523</v>
      </c>
      <c r="T142" s="22">
        <v>633</v>
      </c>
      <c r="U142" s="22">
        <v>491</v>
      </c>
      <c r="V142" s="22">
        <v>619</v>
      </c>
      <c r="W142" s="22">
        <v>458</v>
      </c>
      <c r="X142" s="22">
        <v>750</v>
      </c>
      <c r="Y142" s="22">
        <v>712</v>
      </c>
      <c r="Z142" s="22">
        <v>1163</v>
      </c>
      <c r="AA142" s="19">
        <f t="shared" si="5"/>
        <v>0.6334269662921348</v>
      </c>
      <c r="AB142" s="19">
        <f t="shared" si="6"/>
        <v>0.87883683360258491</v>
      </c>
    </row>
    <row r="143" spans="1:28" x14ac:dyDescent="0.4">
      <c r="A143" s="21" t="s">
        <v>221</v>
      </c>
      <c r="B143" s="12" t="s">
        <v>54</v>
      </c>
      <c r="C143" s="12" t="s">
        <v>222</v>
      </c>
      <c r="D143" s="13" t="s">
        <v>68</v>
      </c>
      <c r="E143" s="22">
        <v>66618938</v>
      </c>
      <c r="F143" s="22">
        <v>50885609</v>
      </c>
      <c r="G143" s="22">
        <v>38194281</v>
      </c>
      <c r="H143" s="22">
        <v>32389456</v>
      </c>
      <c r="I143" s="22">
        <v>56995039</v>
      </c>
      <c r="J143" s="22">
        <v>39970815</v>
      </c>
      <c r="K143" s="22">
        <v>54513505</v>
      </c>
      <c r="L143" s="22">
        <v>32834604</v>
      </c>
      <c r="M143" s="22">
        <v>40751987</v>
      </c>
      <c r="N143" s="22">
        <v>31874306</v>
      </c>
      <c r="O143" s="22">
        <v>86914703</v>
      </c>
      <c r="P143" s="22">
        <v>66775851</v>
      </c>
      <c r="Q143" s="22">
        <v>40751987</v>
      </c>
      <c r="R143" s="22">
        <v>39052071</v>
      </c>
      <c r="S143" s="22">
        <v>40755952</v>
      </c>
      <c r="T143" s="22">
        <v>42728355</v>
      </c>
      <c r="U143" s="22">
        <v>18268106</v>
      </c>
      <c r="V143" s="22">
        <v>18554080</v>
      </c>
      <c r="W143" s="22">
        <v>23867621</v>
      </c>
      <c r="X143" s="22">
        <v>21547933</v>
      </c>
      <c r="Y143" s="22">
        <v>37531873</v>
      </c>
      <c r="Z143" s="22">
        <v>86466157</v>
      </c>
      <c r="AA143" s="19">
        <f t="shared" si="5"/>
        <v>1.303806074373107</v>
      </c>
      <c r="AB143" s="19">
        <f t="shared" si="6"/>
        <v>3.6602233578813932</v>
      </c>
    </row>
    <row r="144" spans="1:28" ht="14.4" x14ac:dyDescent="0.4">
      <c r="A144" s="21" t="s">
        <v>223</v>
      </c>
      <c r="B144" s="12" t="s">
        <v>54</v>
      </c>
      <c r="C144" s="12" t="s">
        <v>224</v>
      </c>
      <c r="D144" s="13" t="s">
        <v>45</v>
      </c>
      <c r="E144" s="22">
        <v>120973</v>
      </c>
      <c r="F144" s="22">
        <v>248528</v>
      </c>
      <c r="G144" s="22">
        <v>139641</v>
      </c>
      <c r="H144" s="22">
        <v>166595</v>
      </c>
      <c r="I144" s="22">
        <v>250088</v>
      </c>
      <c r="J144" s="22">
        <v>219436</v>
      </c>
      <c r="K144" s="22">
        <v>308445</v>
      </c>
      <c r="L144" s="22">
        <v>166523</v>
      </c>
      <c r="M144" s="22">
        <v>148104</v>
      </c>
      <c r="N144" s="22">
        <v>122506</v>
      </c>
      <c r="O144" s="22">
        <v>185735</v>
      </c>
      <c r="P144" s="22">
        <v>289850</v>
      </c>
      <c r="Q144" s="22">
        <v>245333</v>
      </c>
      <c r="R144" s="22">
        <v>231645</v>
      </c>
      <c r="S144" s="22">
        <v>160431</v>
      </c>
      <c r="T144" s="22">
        <v>105167</v>
      </c>
      <c r="U144" s="184">
        <v>287864</v>
      </c>
      <c r="V144" s="22">
        <v>260680</v>
      </c>
      <c r="W144" s="22">
        <v>197749</v>
      </c>
      <c r="X144" s="22">
        <v>209252</v>
      </c>
      <c r="Y144" s="22">
        <v>298229</v>
      </c>
      <c r="Z144" s="22">
        <v>400388</v>
      </c>
      <c r="AA144" s="19">
        <f t="shared" si="5"/>
        <v>0.34255219981960172</v>
      </c>
      <c r="AB144" s="19">
        <f t="shared" si="6"/>
        <v>0.53593678072732853</v>
      </c>
    </row>
    <row r="145" spans="1:28" x14ac:dyDescent="0.4">
      <c r="A145" s="21" t="s">
        <v>225</v>
      </c>
      <c r="B145" s="12" t="s">
        <v>54</v>
      </c>
      <c r="C145" s="12" t="s">
        <v>226</v>
      </c>
      <c r="D145" s="13" t="s">
        <v>45</v>
      </c>
      <c r="E145" s="22">
        <v>22646</v>
      </c>
      <c r="F145" s="22">
        <v>33832</v>
      </c>
      <c r="G145" s="22">
        <v>21173</v>
      </c>
      <c r="H145" s="22">
        <v>25919</v>
      </c>
      <c r="I145" s="22">
        <v>33878</v>
      </c>
      <c r="J145" s="22">
        <v>28276</v>
      </c>
      <c r="K145" s="22">
        <v>26867</v>
      </c>
      <c r="L145" s="22">
        <v>19954</v>
      </c>
      <c r="M145" s="22">
        <v>14114</v>
      </c>
      <c r="N145" s="22">
        <v>12669</v>
      </c>
      <c r="O145" s="22">
        <v>34134</v>
      </c>
      <c r="P145" s="22">
        <v>35457</v>
      </c>
      <c r="Q145" s="22">
        <v>31246</v>
      </c>
      <c r="R145" s="22">
        <v>13641</v>
      </c>
      <c r="S145" s="22">
        <v>35423</v>
      </c>
      <c r="T145" s="22">
        <v>56839</v>
      </c>
      <c r="U145" s="22">
        <v>41915</v>
      </c>
      <c r="V145" s="22">
        <v>36018</v>
      </c>
      <c r="W145" s="22">
        <v>41024</v>
      </c>
      <c r="X145" s="22">
        <v>52234</v>
      </c>
      <c r="Y145" s="22">
        <v>74099</v>
      </c>
      <c r="Z145" s="22">
        <v>95625</v>
      </c>
      <c r="AA145" s="19">
        <f t="shared" si="5"/>
        <v>0.29050324565783603</v>
      </c>
      <c r="AB145" s="19">
        <f t="shared" si="6"/>
        <v>1.6549225387306348</v>
      </c>
    </row>
    <row r="146" spans="1:28" x14ac:dyDescent="0.4">
      <c r="A146" s="12" t="s">
        <v>3280</v>
      </c>
      <c r="B146" s="12" t="s">
        <v>57</v>
      </c>
      <c r="C146" s="12" t="s">
        <v>228</v>
      </c>
      <c r="D146" s="13" t="s">
        <v>45</v>
      </c>
      <c r="E146" s="14">
        <v>15262</v>
      </c>
      <c r="F146" s="14">
        <v>89931</v>
      </c>
      <c r="G146" s="14">
        <v>83929</v>
      </c>
      <c r="H146" s="14">
        <v>74705</v>
      </c>
      <c r="I146" s="14">
        <v>211400</v>
      </c>
      <c r="J146" s="14">
        <v>193340</v>
      </c>
      <c r="K146" s="14">
        <v>182015</v>
      </c>
      <c r="L146" s="14">
        <v>79055</v>
      </c>
      <c r="M146" s="14">
        <v>60691</v>
      </c>
      <c r="N146" s="14">
        <v>48075</v>
      </c>
      <c r="O146" s="14">
        <v>51931</v>
      </c>
      <c r="P146" s="22">
        <v>64993</v>
      </c>
      <c r="Q146" s="22">
        <v>13405</v>
      </c>
      <c r="R146" s="22">
        <v>19350</v>
      </c>
      <c r="S146" s="22">
        <v>9116</v>
      </c>
      <c r="T146" s="22">
        <v>7066</v>
      </c>
      <c r="U146" s="22">
        <v>10130</v>
      </c>
      <c r="V146" s="22">
        <v>19577</v>
      </c>
      <c r="W146" s="22">
        <v>20613</v>
      </c>
      <c r="X146" s="22">
        <v>24440</v>
      </c>
      <c r="Y146" s="22">
        <f>2351+118</f>
        <v>2469</v>
      </c>
      <c r="Z146" s="22">
        <f>804+767</f>
        <v>1571</v>
      </c>
      <c r="AA146" s="19">
        <f t="shared" si="5"/>
        <v>-0.3637100040502228</v>
      </c>
      <c r="AB146" s="19">
        <f t="shared" si="6"/>
        <v>-0.91975277110895437</v>
      </c>
    </row>
    <row r="147" spans="1:28" hidden="1" x14ac:dyDescent="0.4">
      <c r="A147" s="12" t="s">
        <v>229</v>
      </c>
      <c r="B147" s="12" t="s">
        <v>107</v>
      </c>
      <c r="C147" s="12" t="s">
        <v>230</v>
      </c>
      <c r="D147" s="13" t="s">
        <v>45</v>
      </c>
      <c r="E147" s="14"/>
      <c r="F147" s="14"/>
      <c r="G147" s="14"/>
      <c r="H147" s="14">
        <v>1081.08</v>
      </c>
      <c r="I147" s="14">
        <v>930.00959999999998</v>
      </c>
      <c r="J147" s="14">
        <v>0</v>
      </c>
      <c r="K147" s="14">
        <v>3652.0378179999998</v>
      </c>
      <c r="L147" s="14">
        <v>275.08</v>
      </c>
      <c r="M147" s="14">
        <v>275.08</v>
      </c>
      <c r="N147" s="14">
        <v>1101</v>
      </c>
      <c r="O147" s="14">
        <v>2578</v>
      </c>
      <c r="P147" s="22">
        <v>2774</v>
      </c>
      <c r="Q147" s="22">
        <v>188</v>
      </c>
      <c r="R147" s="22">
        <v>150</v>
      </c>
      <c r="S147" s="22">
        <v>860</v>
      </c>
      <c r="T147" s="22">
        <v>118</v>
      </c>
      <c r="U147" s="22"/>
      <c r="V147" s="22"/>
      <c r="W147" s="22"/>
      <c r="X147" s="22"/>
      <c r="Y147" s="22"/>
      <c r="Z147" s="22"/>
      <c r="AA147" s="19" t="e">
        <f t="shared" si="5"/>
        <v>#DIV/0!</v>
      </c>
      <c r="AB147" s="19" t="e">
        <f t="shared" si="6"/>
        <v>#DIV/0!</v>
      </c>
    </row>
    <row r="148" spans="1:28" x14ac:dyDescent="0.4">
      <c r="A148" s="21" t="s">
        <v>231</v>
      </c>
      <c r="B148" s="12" t="s">
        <v>100</v>
      </c>
      <c r="C148" s="12" t="s">
        <v>172</v>
      </c>
      <c r="D148" s="13" t="s">
        <v>45</v>
      </c>
      <c r="E148" s="22">
        <v>47986</v>
      </c>
      <c r="F148" s="22">
        <v>57262</v>
      </c>
      <c r="G148" s="22">
        <v>74039</v>
      </c>
      <c r="H148" s="22">
        <v>86382</v>
      </c>
      <c r="I148" s="22">
        <v>87224</v>
      </c>
      <c r="J148" s="22">
        <v>188065</v>
      </c>
      <c r="K148" s="14">
        <v>207702</v>
      </c>
      <c r="L148" s="14">
        <v>216764</v>
      </c>
      <c r="M148" s="14">
        <v>215054</v>
      </c>
      <c r="N148" s="14">
        <v>215519</v>
      </c>
      <c r="O148" s="14">
        <v>222975</v>
      </c>
      <c r="P148" s="22">
        <v>199564</v>
      </c>
      <c r="Q148" s="22">
        <v>145890</v>
      </c>
      <c r="R148" s="22">
        <v>88130</v>
      </c>
      <c r="S148" s="22">
        <v>51211</v>
      </c>
      <c r="T148" s="185">
        <v>10630</v>
      </c>
      <c r="U148" s="22">
        <v>9464</v>
      </c>
      <c r="V148" s="185">
        <v>91193</v>
      </c>
      <c r="W148" s="185">
        <v>62045</v>
      </c>
      <c r="X148" s="185">
        <v>64974</v>
      </c>
      <c r="Y148" s="185">
        <v>54082</v>
      </c>
      <c r="Z148" s="185">
        <v>52340</v>
      </c>
      <c r="AA148" s="19">
        <f t="shared" si="5"/>
        <v>-3.221034725047156E-2</v>
      </c>
      <c r="AB148" s="19">
        <f t="shared" si="6"/>
        <v>-0.42605243823539085</v>
      </c>
    </row>
    <row r="149" spans="1:28" x14ac:dyDescent="0.4">
      <c r="A149" s="12" t="s">
        <v>232</v>
      </c>
      <c r="B149" s="12" t="s">
        <v>233</v>
      </c>
      <c r="C149" s="12" t="s">
        <v>234</v>
      </c>
      <c r="D149" s="13" t="s">
        <v>48</v>
      </c>
      <c r="E149" s="14">
        <v>2019</v>
      </c>
      <c r="F149" s="14">
        <v>1865</v>
      </c>
      <c r="G149" s="14">
        <v>1844</v>
      </c>
      <c r="H149" s="14">
        <v>1700</v>
      </c>
      <c r="I149" s="14">
        <v>1702</v>
      </c>
      <c r="J149" s="14">
        <v>1612</v>
      </c>
      <c r="K149" s="14">
        <v>1673</v>
      </c>
      <c r="L149" s="14">
        <v>1590</v>
      </c>
      <c r="M149" s="14">
        <v>2558</v>
      </c>
      <c r="N149" s="14">
        <v>2496</v>
      </c>
      <c r="O149" s="14">
        <v>2205</v>
      </c>
      <c r="P149" s="22">
        <v>1981</v>
      </c>
      <c r="Q149" s="22">
        <v>3538</v>
      </c>
      <c r="R149" s="22">
        <v>3377</v>
      </c>
      <c r="S149" s="22">
        <v>3936</v>
      </c>
      <c r="T149" s="22">
        <v>5417</v>
      </c>
      <c r="U149" s="22">
        <v>5110</v>
      </c>
      <c r="V149" s="22">
        <v>4755</v>
      </c>
      <c r="W149" s="22">
        <v>4462</v>
      </c>
      <c r="X149" s="22">
        <v>4088</v>
      </c>
      <c r="Y149" s="22">
        <v>3458</v>
      </c>
      <c r="Z149" s="22">
        <v>5690</v>
      </c>
      <c r="AA149" s="19">
        <f t="shared" si="5"/>
        <v>0.64545980335454023</v>
      </c>
      <c r="AB149" s="19">
        <f t="shared" si="6"/>
        <v>0.19663512092534186</v>
      </c>
    </row>
    <row r="150" spans="1:28" x14ac:dyDescent="0.4">
      <c r="A150" s="12" t="s">
        <v>235</v>
      </c>
      <c r="B150" s="12" t="s">
        <v>233</v>
      </c>
      <c r="C150" s="12" t="s">
        <v>234</v>
      </c>
      <c r="D150" s="13" t="s">
        <v>236</v>
      </c>
      <c r="E150" s="14">
        <v>54555350.671999998</v>
      </c>
      <c r="F150" s="14">
        <v>49354527.229999997</v>
      </c>
      <c r="G150" s="14">
        <v>44704875.829999998</v>
      </c>
      <c r="H150" s="14">
        <v>41115927.689999998</v>
      </c>
      <c r="I150" s="14">
        <v>42981548.909999996</v>
      </c>
      <c r="J150" s="14">
        <v>37658229.225000001</v>
      </c>
      <c r="K150" s="14">
        <v>28281018.752999999</v>
      </c>
      <c r="L150" s="14">
        <v>29842021.811999999</v>
      </c>
      <c r="M150" s="14">
        <v>32811713.585999999</v>
      </c>
      <c r="N150" s="14">
        <v>31528140.500999998</v>
      </c>
      <c r="O150" s="14">
        <v>36026125.155000001</v>
      </c>
      <c r="P150" s="22">
        <v>36481596.806999996</v>
      </c>
      <c r="Q150" s="22">
        <v>50096019.692000002</v>
      </c>
      <c r="R150" s="22">
        <v>54705110.601000004</v>
      </c>
      <c r="S150" s="22">
        <v>53090488</v>
      </c>
      <c r="T150" s="22">
        <v>49607096</v>
      </c>
      <c r="U150" s="22">
        <v>36549611692</v>
      </c>
      <c r="V150" s="22">
        <v>36234566812</v>
      </c>
      <c r="W150" s="22">
        <v>28214042018</v>
      </c>
      <c r="X150" s="22">
        <v>25271360583</v>
      </c>
      <c r="Y150" s="22">
        <v>24927573793</v>
      </c>
      <c r="Z150" s="22">
        <v>24288135783</v>
      </c>
      <c r="AA150" s="19">
        <f t="shared" si="5"/>
        <v>-2.565183500447854E-2</v>
      </c>
      <c r="AB150" s="19">
        <f t="shared" si="6"/>
        <v>-0.32969708430579703</v>
      </c>
    </row>
    <row r="151" spans="1:28" x14ac:dyDescent="0.4">
      <c r="A151" s="12" t="s">
        <v>237</v>
      </c>
      <c r="B151" s="12" t="s">
        <v>233</v>
      </c>
      <c r="C151" s="12" t="s">
        <v>238</v>
      </c>
      <c r="D151" s="13" t="s">
        <v>45</v>
      </c>
      <c r="E151" s="14"/>
      <c r="F151" s="14"/>
      <c r="G151" s="14"/>
      <c r="H151" s="14"/>
      <c r="I151" s="14">
        <v>20829</v>
      </c>
      <c r="J151" s="14">
        <v>20307</v>
      </c>
      <c r="K151" s="14">
        <v>19445</v>
      </c>
      <c r="L151" s="14">
        <v>18180</v>
      </c>
      <c r="M151" s="14">
        <v>18180</v>
      </c>
      <c r="N151" s="14">
        <v>15866</v>
      </c>
      <c r="O151" s="14">
        <v>14128</v>
      </c>
      <c r="P151" s="22">
        <v>12131</v>
      </c>
      <c r="Q151" s="22">
        <v>9708</v>
      </c>
      <c r="R151" s="22">
        <v>9395</v>
      </c>
      <c r="S151" s="22">
        <v>4438</v>
      </c>
      <c r="T151" s="22">
        <v>2333</v>
      </c>
      <c r="U151" s="22"/>
      <c r="V151" s="22"/>
      <c r="W151" s="22">
        <f>6593+4811+28975</f>
        <v>40379</v>
      </c>
      <c r="X151" s="22">
        <f>11553+28975</f>
        <v>40528</v>
      </c>
      <c r="Y151" s="22">
        <f>7467+28975+40980</f>
        <v>77422</v>
      </c>
      <c r="Z151" s="22">
        <f>7109+28975+40980</f>
        <v>77064</v>
      </c>
      <c r="AA151" s="19">
        <f t="shared" si="5"/>
        <v>-4.624008679703473E-3</v>
      </c>
      <c r="AB151" s="19" t="e">
        <f t="shared" si="6"/>
        <v>#DIV/0!</v>
      </c>
    </row>
    <row r="152" spans="1:28" x14ac:dyDescent="0.4">
      <c r="A152" s="12" t="s">
        <v>2983</v>
      </c>
      <c r="B152" s="12" t="s">
        <v>233</v>
      </c>
      <c r="C152" s="12" t="s">
        <v>2984</v>
      </c>
      <c r="D152" s="13" t="s">
        <v>45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22"/>
      <c r="Q152" s="22"/>
      <c r="R152" s="22"/>
      <c r="S152" s="22">
        <v>21979</v>
      </c>
      <c r="T152" s="22">
        <v>24738</v>
      </c>
      <c r="U152" s="22">
        <v>23450</v>
      </c>
      <c r="V152" s="22">
        <v>19830</v>
      </c>
      <c r="W152" s="22">
        <v>31960</v>
      </c>
      <c r="X152" s="22">
        <v>35395</v>
      </c>
      <c r="Y152" s="22">
        <v>31102</v>
      </c>
      <c r="Z152" s="22">
        <v>48593</v>
      </c>
      <c r="AA152" s="19">
        <f t="shared" si="5"/>
        <v>0.56237540994148283</v>
      </c>
      <c r="AB152" s="19">
        <f t="shared" si="6"/>
        <v>1.4504790721129601</v>
      </c>
    </row>
    <row r="153" spans="1:28" x14ac:dyDescent="0.4">
      <c r="A153" s="12" t="s">
        <v>2987</v>
      </c>
      <c r="B153" s="12" t="s">
        <v>233</v>
      </c>
      <c r="C153" s="12" t="s">
        <v>2985</v>
      </c>
      <c r="D153" s="13" t="s">
        <v>2986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22"/>
      <c r="Q153" s="22">
        <v>12510</v>
      </c>
      <c r="R153" s="22">
        <v>12608</v>
      </c>
      <c r="S153" s="22">
        <v>14149</v>
      </c>
      <c r="T153" s="22">
        <v>14932</v>
      </c>
      <c r="U153" s="22">
        <v>16204</v>
      </c>
      <c r="V153" s="22">
        <v>14389</v>
      </c>
      <c r="W153" s="22">
        <v>8342</v>
      </c>
      <c r="X153" s="22">
        <v>7374</v>
      </c>
      <c r="Y153" s="22">
        <v>9065</v>
      </c>
      <c r="Z153" s="22">
        <v>8148</v>
      </c>
      <c r="AA153" s="19">
        <f t="shared" si="5"/>
        <v>-0.10115830115830116</v>
      </c>
      <c r="AB153" s="19">
        <f t="shared" si="6"/>
        <v>-0.43373410243936339</v>
      </c>
    </row>
    <row r="154" spans="1:28" x14ac:dyDescent="0.4">
      <c r="A154" s="12" t="s">
        <v>3015</v>
      </c>
      <c r="B154" s="12" t="s">
        <v>233</v>
      </c>
      <c r="C154" s="12" t="s">
        <v>3016</v>
      </c>
      <c r="D154" s="13" t="s">
        <v>3017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22"/>
      <c r="Q154" s="22"/>
      <c r="R154" s="22">
        <v>506429</v>
      </c>
      <c r="S154" s="22">
        <v>504048</v>
      </c>
      <c r="T154" s="22">
        <v>727912</v>
      </c>
      <c r="U154" s="22">
        <v>598423</v>
      </c>
      <c r="V154" s="22">
        <v>587955</v>
      </c>
      <c r="W154" s="22">
        <v>561909</v>
      </c>
      <c r="X154" s="22">
        <v>638702</v>
      </c>
      <c r="Y154" s="22">
        <v>457876</v>
      </c>
      <c r="Z154" s="22">
        <v>455070</v>
      </c>
      <c r="AA154" s="19">
        <f t="shared" si="5"/>
        <v>-6.1282967440966507E-3</v>
      </c>
      <c r="AB154" s="19">
        <f t="shared" si="6"/>
        <v>-0.22601219481082735</v>
      </c>
    </row>
    <row r="155" spans="1:28" x14ac:dyDescent="0.4">
      <c r="A155" s="12" t="s">
        <v>239</v>
      </c>
      <c r="B155" s="12" t="s">
        <v>233</v>
      </c>
      <c r="C155" s="12" t="s">
        <v>240</v>
      </c>
      <c r="D155" s="13" t="s">
        <v>45</v>
      </c>
      <c r="E155" s="14">
        <v>8518</v>
      </c>
      <c r="F155" s="14">
        <v>5678</v>
      </c>
      <c r="G155" s="14">
        <v>2266</v>
      </c>
      <c r="H155" s="14">
        <v>11990</v>
      </c>
      <c r="I155" s="14">
        <v>6845</v>
      </c>
      <c r="J155" s="14">
        <v>8471</v>
      </c>
      <c r="K155" s="14">
        <v>2609</v>
      </c>
      <c r="L155" s="14">
        <v>15596</v>
      </c>
      <c r="M155" s="14">
        <v>10047</v>
      </c>
      <c r="N155" s="14">
        <v>260098</v>
      </c>
      <c r="O155" s="14">
        <v>246210</v>
      </c>
      <c r="P155" s="22">
        <v>251717</v>
      </c>
      <c r="Q155" s="22">
        <v>150530</v>
      </c>
      <c r="R155" s="22">
        <v>125275</v>
      </c>
      <c r="S155" s="22">
        <v>110193</v>
      </c>
      <c r="T155" s="22">
        <v>94241</v>
      </c>
      <c r="U155" s="22">
        <v>71569</v>
      </c>
      <c r="V155" s="22">
        <v>51888</v>
      </c>
      <c r="W155" s="22">
        <v>38310</v>
      </c>
      <c r="X155" s="22">
        <v>24351</v>
      </c>
      <c r="Y155" s="22" t="s">
        <v>3281</v>
      </c>
      <c r="Z155" s="22" t="s">
        <v>3281</v>
      </c>
      <c r="AA155" s="19" t="e">
        <f t="shared" si="5"/>
        <v>#VALUE!</v>
      </c>
      <c r="AB155" s="19" t="e">
        <f t="shared" si="6"/>
        <v>#VALUE!</v>
      </c>
    </row>
    <row r="156" spans="1:28" x14ac:dyDescent="0.4">
      <c r="A156" s="12" t="s">
        <v>241</v>
      </c>
      <c r="B156" s="12" t="s">
        <v>233</v>
      </c>
      <c r="C156" s="12" t="s">
        <v>242</v>
      </c>
      <c r="D156" s="13" t="s">
        <v>45</v>
      </c>
      <c r="E156" s="14"/>
      <c r="F156" s="14"/>
      <c r="G156" s="14">
        <v>100633</v>
      </c>
      <c r="H156" s="14">
        <v>93158</v>
      </c>
      <c r="I156" s="14">
        <v>88860</v>
      </c>
      <c r="J156" s="14">
        <v>1449107</v>
      </c>
      <c r="K156" s="14">
        <v>1478785</v>
      </c>
      <c r="L156" s="14">
        <v>1443803</v>
      </c>
      <c r="M156" s="14">
        <v>1428122</v>
      </c>
      <c r="N156" s="14">
        <v>1277769</v>
      </c>
      <c r="O156" s="14">
        <v>1225564</v>
      </c>
      <c r="P156" s="22">
        <v>1225534</v>
      </c>
      <c r="Q156" s="22">
        <v>1203025</v>
      </c>
      <c r="R156" s="22">
        <v>1171478</v>
      </c>
      <c r="S156" s="22">
        <v>1110516</v>
      </c>
      <c r="T156" s="22">
        <v>1224099</v>
      </c>
      <c r="U156" s="22">
        <v>1100108</v>
      </c>
      <c r="V156" s="22">
        <v>1205285</v>
      </c>
      <c r="W156" s="22">
        <v>1176251</v>
      </c>
      <c r="X156" s="22">
        <v>1530482</v>
      </c>
      <c r="Y156" s="22">
        <v>1504564</v>
      </c>
      <c r="Z156" s="22">
        <v>1484941</v>
      </c>
      <c r="AA156" s="19">
        <f t="shared" si="5"/>
        <v>-1.3042316578091739E-2</v>
      </c>
      <c r="AB156" s="19">
        <f t="shared" si="6"/>
        <v>0.23202479081710958</v>
      </c>
    </row>
    <row r="157" spans="1:28" x14ac:dyDescent="0.4">
      <c r="A157" s="12" t="s">
        <v>243</v>
      </c>
      <c r="B157" s="12" t="s">
        <v>122</v>
      </c>
      <c r="C157" s="12" t="s">
        <v>244</v>
      </c>
      <c r="D157" s="13" t="s">
        <v>45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>
        <v>24340</v>
      </c>
      <c r="P157" s="22">
        <v>21485</v>
      </c>
      <c r="Q157" s="22">
        <v>38530</v>
      </c>
      <c r="R157" s="22">
        <v>44922</v>
      </c>
      <c r="S157" s="22">
        <v>49985</v>
      </c>
      <c r="T157" s="22">
        <v>40921</v>
      </c>
      <c r="U157" s="22">
        <v>30677</v>
      </c>
      <c r="V157" s="22">
        <v>55681</v>
      </c>
      <c r="W157" s="22">
        <v>57171</v>
      </c>
      <c r="X157" s="22">
        <v>51854</v>
      </c>
      <c r="Y157" s="22">
        <v>46500</v>
      </c>
      <c r="Z157" s="22">
        <v>59900</v>
      </c>
      <c r="AA157" s="19">
        <f t="shared" si="5"/>
        <v>0.28817204301075261</v>
      </c>
      <c r="AB157" s="19">
        <f t="shared" si="6"/>
        <v>7.577090928683039E-2</v>
      </c>
    </row>
    <row r="158" spans="1:28" x14ac:dyDescent="0.4">
      <c r="A158" s="12" t="s">
        <v>245</v>
      </c>
      <c r="B158" s="12" t="s">
        <v>122</v>
      </c>
      <c r="C158" s="12" t="s">
        <v>246</v>
      </c>
      <c r="D158" s="13" t="s">
        <v>48</v>
      </c>
      <c r="E158" s="14">
        <v>3810</v>
      </c>
      <c r="F158" s="14">
        <v>5398</v>
      </c>
      <c r="G158" s="14">
        <v>7904</v>
      </c>
      <c r="H158" s="14">
        <v>6850</v>
      </c>
      <c r="I158" s="14">
        <v>6741</v>
      </c>
      <c r="J158" s="14">
        <v>8805</v>
      </c>
      <c r="K158" s="14">
        <v>7928</v>
      </c>
      <c r="L158" s="14">
        <v>8316</v>
      </c>
      <c r="M158" s="14">
        <v>6546</v>
      </c>
      <c r="N158" s="14">
        <v>6935</v>
      </c>
      <c r="O158" s="14">
        <v>6232</v>
      </c>
      <c r="P158" s="22">
        <v>6444</v>
      </c>
      <c r="Q158" s="22">
        <v>5950</v>
      </c>
      <c r="R158" s="22">
        <v>8031</v>
      </c>
      <c r="S158" s="22">
        <v>8660</v>
      </c>
      <c r="T158" s="22">
        <v>10167</v>
      </c>
      <c r="U158" s="22">
        <v>2888</v>
      </c>
      <c r="V158" s="22">
        <v>10743</v>
      </c>
      <c r="W158" s="22">
        <v>14200</v>
      </c>
      <c r="X158" s="22">
        <v>10072</v>
      </c>
      <c r="Y158" s="22">
        <v>10775</v>
      </c>
      <c r="Z158" s="22">
        <v>11200</v>
      </c>
      <c r="AA158" s="19">
        <f t="shared" si="5"/>
        <v>3.9443155452436152E-2</v>
      </c>
      <c r="AB158" s="19">
        <f t="shared" si="6"/>
        <v>4.2539327934469018E-2</v>
      </c>
    </row>
    <row r="159" spans="1:28" x14ac:dyDescent="0.4">
      <c r="A159" s="12" t="s">
        <v>247</v>
      </c>
      <c r="B159" s="12" t="s">
        <v>122</v>
      </c>
      <c r="C159" s="12" t="s">
        <v>248</v>
      </c>
      <c r="D159" s="13" t="s">
        <v>68</v>
      </c>
      <c r="E159" s="14"/>
      <c r="F159" s="14"/>
      <c r="G159" s="14"/>
      <c r="H159" s="14">
        <v>23808957</v>
      </c>
      <c r="I159" s="14">
        <v>42124000</v>
      </c>
      <c r="J159" s="14">
        <v>40993570</v>
      </c>
      <c r="K159" s="14">
        <v>43093437</v>
      </c>
      <c r="L159" s="14">
        <v>43948952</v>
      </c>
      <c r="M159" s="14">
        <v>46056734</v>
      </c>
      <c r="N159" s="14">
        <v>47399000</v>
      </c>
      <c r="O159" s="14">
        <v>47002450</v>
      </c>
      <c r="P159" s="22">
        <v>50281649</v>
      </c>
      <c r="Q159" s="22">
        <v>52176575</v>
      </c>
      <c r="R159" s="22">
        <v>70046304</v>
      </c>
      <c r="S159" s="22">
        <v>94662027</v>
      </c>
      <c r="T159" s="22">
        <v>96025079</v>
      </c>
      <c r="U159" s="22">
        <v>104998655</v>
      </c>
      <c r="V159" s="22">
        <v>103998511</v>
      </c>
      <c r="W159" s="22">
        <v>101006655</v>
      </c>
      <c r="X159" s="22">
        <v>91012224</v>
      </c>
      <c r="Y159" s="22">
        <v>79325281</v>
      </c>
      <c r="Z159" s="22">
        <v>79103451</v>
      </c>
      <c r="AA159" s="19">
        <f t="shared" si="5"/>
        <v>-2.7964603113098674E-3</v>
      </c>
      <c r="AB159" s="19">
        <f t="shared" si="6"/>
        <v>-0.23937900418593494</v>
      </c>
    </row>
    <row r="160" spans="1:28" x14ac:dyDescent="0.4">
      <c r="A160" s="12" t="s">
        <v>249</v>
      </c>
      <c r="B160" s="12" t="s">
        <v>85</v>
      </c>
      <c r="C160" s="12" t="s">
        <v>250</v>
      </c>
      <c r="D160" s="13" t="s">
        <v>48</v>
      </c>
      <c r="E160" s="14"/>
      <c r="F160" s="14"/>
      <c r="G160" s="14"/>
      <c r="H160" s="14">
        <v>949</v>
      </c>
      <c r="I160" s="14">
        <v>1500</v>
      </c>
      <c r="J160" s="14">
        <f>1107</f>
        <v>1107</v>
      </c>
      <c r="K160" s="14">
        <v>1548.67</v>
      </c>
      <c r="L160" s="14">
        <f>125700*1000000/100000000</f>
        <v>1257</v>
      </c>
      <c r="M160" s="14">
        <f>99665*1000000/100000000</f>
        <v>996.65</v>
      </c>
      <c r="N160" s="14">
        <f>996.65</f>
        <v>996.65</v>
      </c>
      <c r="O160" s="14">
        <f>128885/100</f>
        <v>1288.8499999999999</v>
      </c>
      <c r="P160" s="22">
        <v>1165</v>
      </c>
      <c r="Q160" s="22">
        <v>2175</v>
      </c>
      <c r="R160" s="22">
        <v>2460</v>
      </c>
      <c r="S160" s="22">
        <v>1982</v>
      </c>
      <c r="T160" s="22">
        <v>1786</v>
      </c>
      <c r="U160" s="22">
        <v>1471.54</v>
      </c>
      <c r="V160" s="22">
        <v>530</v>
      </c>
      <c r="W160" s="22">
        <v>488</v>
      </c>
      <c r="X160" s="22">
        <v>476</v>
      </c>
      <c r="Y160" s="22">
        <v>482.18</v>
      </c>
      <c r="Z160" s="22">
        <v>485</v>
      </c>
      <c r="AA160" s="19">
        <f t="shared" si="5"/>
        <v>5.8484383425276842E-3</v>
      </c>
      <c r="AB160" s="19">
        <f t="shared" si="6"/>
        <v>-8.4905660377358472E-2</v>
      </c>
    </row>
    <row r="161" spans="1:28" x14ac:dyDescent="0.4">
      <c r="A161" s="12" t="s">
        <v>251</v>
      </c>
      <c r="B161" s="12" t="s">
        <v>85</v>
      </c>
      <c r="C161" s="12" t="s">
        <v>252</v>
      </c>
      <c r="D161" s="13" t="s">
        <v>45</v>
      </c>
      <c r="E161" s="14"/>
      <c r="F161" s="14"/>
      <c r="G161" s="14"/>
      <c r="H161" s="14"/>
      <c r="I161" s="14"/>
      <c r="J161" s="14"/>
      <c r="K161" s="14"/>
      <c r="L161" s="14">
        <v>1256403</v>
      </c>
      <c r="M161" s="14">
        <v>187193</v>
      </c>
      <c r="N161" s="14">
        <v>336433</v>
      </c>
      <c r="O161" s="14">
        <v>308570</v>
      </c>
      <c r="P161" s="22">
        <v>364953</v>
      </c>
      <c r="Q161" s="22">
        <v>187193</v>
      </c>
      <c r="R161" s="22">
        <v>252626</v>
      </c>
      <c r="S161" s="22">
        <v>300161</v>
      </c>
      <c r="T161" s="22">
        <v>286681</v>
      </c>
      <c r="U161" s="22">
        <v>238188</v>
      </c>
      <c r="V161" s="22">
        <v>228592</v>
      </c>
      <c r="W161" s="22">
        <v>194682</v>
      </c>
      <c r="X161" s="22">
        <v>189016</v>
      </c>
      <c r="Y161" s="22">
        <v>218676</v>
      </c>
      <c r="Z161" s="22">
        <v>209671</v>
      </c>
      <c r="AA161" s="19">
        <f t="shared" si="5"/>
        <v>-4.1179644771259794E-2</v>
      </c>
      <c r="AB161" s="19">
        <f t="shared" si="6"/>
        <v>-8.277192552670265E-2</v>
      </c>
    </row>
    <row r="162" spans="1:28" x14ac:dyDescent="0.4">
      <c r="A162" s="12" t="s">
        <v>3116</v>
      </c>
      <c r="B162" s="12" t="s">
        <v>43</v>
      </c>
      <c r="C162" s="12" t="s">
        <v>253</v>
      </c>
      <c r="D162" s="13" t="s">
        <v>45</v>
      </c>
      <c r="E162" s="12">
        <v>78125</v>
      </c>
      <c r="F162" s="12">
        <v>32061</v>
      </c>
      <c r="G162" s="12">
        <v>73684</v>
      </c>
      <c r="H162" s="12">
        <v>141988</v>
      </c>
      <c r="I162" s="12">
        <v>144455</v>
      </c>
      <c r="J162" s="14">
        <v>61171</v>
      </c>
      <c r="K162" s="14">
        <v>123377</v>
      </c>
      <c r="L162" s="14">
        <v>184631</v>
      </c>
      <c r="M162" s="14">
        <v>275318</v>
      </c>
      <c r="N162" s="14">
        <v>95678</v>
      </c>
      <c r="O162" s="14">
        <v>175488</v>
      </c>
      <c r="P162" s="14">
        <v>240506</v>
      </c>
      <c r="Q162" s="14">
        <v>324357</v>
      </c>
      <c r="R162" s="14">
        <v>94287</v>
      </c>
      <c r="S162" s="14">
        <v>176557</v>
      </c>
      <c r="T162" s="14">
        <v>190989</v>
      </c>
      <c r="U162" s="14">
        <v>247984</v>
      </c>
      <c r="V162" s="14">
        <v>71280</v>
      </c>
      <c r="W162" s="14">
        <v>168310</v>
      </c>
      <c r="X162" s="14">
        <v>153171</v>
      </c>
      <c r="Y162" s="14">
        <v>209499</v>
      </c>
      <c r="Z162" s="14">
        <v>265349</v>
      </c>
      <c r="AA162" s="19">
        <f t="shared" si="5"/>
        <v>0.26658838467009383</v>
      </c>
      <c r="AB162" s="19">
        <f t="shared" si="6"/>
        <v>2.7226290684624019</v>
      </c>
    </row>
    <row r="163" spans="1:28" x14ac:dyDescent="0.4">
      <c r="A163" s="12" t="s">
        <v>254</v>
      </c>
      <c r="B163" s="12" t="s">
        <v>43</v>
      </c>
      <c r="C163" s="12" t="s">
        <v>255</v>
      </c>
      <c r="D163" s="13" t="s">
        <v>45</v>
      </c>
      <c r="E163" s="18">
        <v>945508</v>
      </c>
      <c r="F163" s="18">
        <v>917158</v>
      </c>
      <c r="G163" s="18">
        <v>1054018</v>
      </c>
      <c r="H163" s="18">
        <v>1097962</v>
      </c>
      <c r="I163" s="18">
        <v>1065519</v>
      </c>
      <c r="J163" s="14">
        <v>1293467</v>
      </c>
      <c r="K163" s="14">
        <v>1256403</v>
      </c>
      <c r="L163" s="14">
        <v>1351287</v>
      </c>
      <c r="M163" s="14">
        <v>1509977</v>
      </c>
      <c r="N163" s="14">
        <v>1548235</v>
      </c>
      <c r="O163" s="14">
        <v>1548659</v>
      </c>
      <c r="P163" s="14">
        <v>1628819</v>
      </c>
      <c r="Q163" s="14">
        <v>1735891</v>
      </c>
      <c r="R163" s="14">
        <v>1938759</v>
      </c>
      <c r="S163" s="14">
        <v>2005454</v>
      </c>
      <c r="T163" s="14">
        <v>2325785</v>
      </c>
      <c r="U163" s="14">
        <v>2818062</v>
      </c>
      <c r="V163" s="14">
        <v>2847019</v>
      </c>
      <c r="W163" s="14">
        <v>2890728</v>
      </c>
      <c r="X163" s="14">
        <v>3417511</v>
      </c>
      <c r="Y163" s="14">
        <v>3663260</v>
      </c>
      <c r="Z163" s="14">
        <v>3827305</v>
      </c>
      <c r="AA163" s="19">
        <f t="shared" si="5"/>
        <v>4.4781151215038006E-2</v>
      </c>
      <c r="AB163" s="19">
        <f t="shared" si="6"/>
        <v>0.34432014679213596</v>
      </c>
    </row>
    <row r="164" spans="1:28" x14ac:dyDescent="0.4">
      <c r="A164" s="12" t="s">
        <v>256</v>
      </c>
      <c r="B164" s="12" t="s">
        <v>43</v>
      </c>
      <c r="C164" s="12" t="s">
        <v>257</v>
      </c>
      <c r="D164" s="13" t="s">
        <v>48</v>
      </c>
      <c r="E164" s="12">
        <v>36488</v>
      </c>
      <c r="F164" s="12">
        <v>35319</v>
      </c>
      <c r="G164" s="12">
        <v>39741</v>
      </c>
      <c r="H164" s="12">
        <v>42357</v>
      </c>
      <c r="I164" s="12">
        <v>43757</v>
      </c>
      <c r="J164" s="14">
        <v>54757</v>
      </c>
      <c r="K164" s="14">
        <v>53354</v>
      </c>
      <c r="L164" s="14">
        <v>54875</v>
      </c>
      <c r="M164" s="14">
        <v>47010</v>
      </c>
      <c r="N164" s="14">
        <v>61962</v>
      </c>
      <c r="O164" s="14">
        <v>66150</v>
      </c>
      <c r="P164" s="14">
        <v>70491</v>
      </c>
      <c r="Q164" s="14">
        <v>86932</v>
      </c>
      <c r="R164" s="14">
        <v>93954</v>
      </c>
      <c r="S164" s="14">
        <v>97282</v>
      </c>
      <c r="T164" s="14">
        <v>99157</v>
      </c>
      <c r="U164" s="14">
        <v>111512</v>
      </c>
      <c r="V164" s="14">
        <v>110729</v>
      </c>
      <c r="W164" s="14">
        <v>117474</v>
      </c>
      <c r="X164" s="14">
        <v>123530</v>
      </c>
      <c r="Y164" s="14">
        <v>149834</v>
      </c>
      <c r="Z164" s="14">
        <v>167390</v>
      </c>
      <c r="AA164" s="19">
        <f t="shared" si="5"/>
        <v>0.11716966776566062</v>
      </c>
      <c r="AB164" s="19">
        <f t="shared" si="6"/>
        <v>0.51170876644781393</v>
      </c>
    </row>
    <row r="165" spans="1:28" x14ac:dyDescent="0.4">
      <c r="A165" s="12" t="s">
        <v>258</v>
      </c>
      <c r="B165" s="12" t="s">
        <v>43</v>
      </c>
      <c r="C165" s="12" t="s">
        <v>259</v>
      </c>
      <c r="D165" s="13" t="s">
        <v>45</v>
      </c>
      <c r="E165" s="14">
        <f>1232733+44937+303173</f>
        <v>1580843</v>
      </c>
      <c r="F165" s="14">
        <f>1316335+56103+314946</f>
        <v>1687384</v>
      </c>
      <c r="G165" s="14">
        <f>1398836+61072+275895</f>
        <v>1735803</v>
      </c>
      <c r="H165" s="14">
        <f>1466207+78540+384352</f>
        <v>1929099</v>
      </c>
      <c r="I165" s="14">
        <f>1448236+68262+400117+503794</f>
        <v>2420409</v>
      </c>
      <c r="J165" s="14">
        <v>2478000</v>
      </c>
      <c r="K165" s="14">
        <v>2967700</v>
      </c>
      <c r="L165" s="14">
        <v>3601000</v>
      </c>
      <c r="M165" s="14">
        <v>3526900</v>
      </c>
      <c r="N165" s="14">
        <v>3965000</v>
      </c>
      <c r="O165" s="20">
        <v>4839900</v>
      </c>
      <c r="P165" s="20">
        <v>5157100</v>
      </c>
      <c r="Q165" s="20">
        <v>5377500</v>
      </c>
      <c r="R165" s="20">
        <v>6497280</v>
      </c>
      <c r="S165" s="20">
        <v>7090200</v>
      </c>
      <c r="T165" s="20">
        <v>7180670</v>
      </c>
      <c r="U165" s="20">
        <v>7646580</v>
      </c>
      <c r="V165" s="20">
        <v>8493900</v>
      </c>
      <c r="W165" s="20">
        <v>8711500</v>
      </c>
      <c r="X165" s="20">
        <v>9566710</v>
      </c>
      <c r="Y165" s="20">
        <v>9423400</v>
      </c>
      <c r="Z165" s="20">
        <v>11437600</v>
      </c>
      <c r="AA165" s="19">
        <f t="shared" si="5"/>
        <v>0.21374450835155034</v>
      </c>
      <c r="AB165" s="19">
        <f t="shared" si="6"/>
        <v>0.34656635938732494</v>
      </c>
    </row>
    <row r="166" spans="1:28" x14ac:dyDescent="0.4">
      <c r="A166" s="12" t="s">
        <v>260</v>
      </c>
      <c r="B166" s="12" t="s">
        <v>43</v>
      </c>
      <c r="C166" s="12" t="s">
        <v>253</v>
      </c>
      <c r="D166" s="13" t="s">
        <v>48</v>
      </c>
      <c r="E166" s="12">
        <f>8436+887</f>
        <v>9323</v>
      </c>
      <c r="F166" s="12">
        <f>8449+887</f>
        <v>9336</v>
      </c>
      <c r="G166" s="12">
        <f>10278+923</f>
        <v>11201</v>
      </c>
      <c r="H166" s="12">
        <f>10242+953</f>
        <v>11195</v>
      </c>
      <c r="I166" s="12">
        <f>10592+942</f>
        <v>11534</v>
      </c>
      <c r="J166" s="14">
        <v>15383</v>
      </c>
      <c r="K166" s="14">
        <v>17185</v>
      </c>
      <c r="L166" s="14">
        <v>18827</v>
      </c>
      <c r="M166" s="14">
        <v>20690</v>
      </c>
      <c r="N166" s="14">
        <v>23798</v>
      </c>
      <c r="O166" s="14">
        <v>24260</v>
      </c>
      <c r="P166" s="14">
        <v>23537</v>
      </c>
      <c r="Q166" s="14">
        <v>23261</v>
      </c>
      <c r="R166" s="14">
        <v>25866</v>
      </c>
      <c r="S166" s="14">
        <v>27622</v>
      </c>
      <c r="T166" s="14">
        <v>29041</v>
      </c>
      <c r="U166" s="14">
        <v>34477</v>
      </c>
      <c r="V166" s="14">
        <v>38894</v>
      </c>
      <c r="W166" s="14">
        <v>38557</v>
      </c>
      <c r="X166" s="14">
        <v>40679</v>
      </c>
      <c r="Y166" s="14">
        <v>50154</v>
      </c>
      <c r="Z166" s="14">
        <v>56425</v>
      </c>
      <c r="AA166" s="19">
        <f t="shared" si="5"/>
        <v>0.12503489253100453</v>
      </c>
      <c r="AB166" s="19">
        <f t="shared" si="6"/>
        <v>0.4507379030184604</v>
      </c>
    </row>
    <row r="167" spans="1:28" x14ac:dyDescent="0.4">
      <c r="A167" s="12" t="s">
        <v>261</v>
      </c>
      <c r="B167" s="12" t="s">
        <v>43</v>
      </c>
      <c r="C167" s="12" t="s">
        <v>262</v>
      </c>
      <c r="D167" s="13" t="s">
        <v>52</v>
      </c>
      <c r="E167" s="18">
        <v>449200</v>
      </c>
      <c r="F167" s="18">
        <v>509152</v>
      </c>
      <c r="G167" s="18">
        <v>506670</v>
      </c>
      <c r="H167" s="18">
        <v>574946</v>
      </c>
      <c r="I167" s="18">
        <v>531741</v>
      </c>
      <c r="J167" s="14">
        <v>539873</v>
      </c>
      <c r="K167" s="14">
        <v>674837</v>
      </c>
      <c r="L167" s="14">
        <v>615460</v>
      </c>
      <c r="M167" s="14">
        <v>613208</v>
      </c>
      <c r="N167" s="14">
        <v>649196</v>
      </c>
      <c r="O167" s="14">
        <v>822320</v>
      </c>
      <c r="P167" s="14">
        <v>963586</v>
      </c>
      <c r="Q167" s="20">
        <v>1297775</v>
      </c>
      <c r="R167" s="20">
        <v>1569945</v>
      </c>
      <c r="S167" s="20">
        <v>1645310</v>
      </c>
      <c r="T167" s="20">
        <v>1767894</v>
      </c>
      <c r="U167" s="20">
        <v>1671889</v>
      </c>
      <c r="V167" s="20">
        <v>1810470</v>
      </c>
      <c r="W167" s="20">
        <v>1892594</v>
      </c>
      <c r="X167" s="20">
        <v>1807060</v>
      </c>
      <c r="Y167" s="20">
        <v>1624785</v>
      </c>
      <c r="Z167" s="20">
        <v>1761584</v>
      </c>
      <c r="AA167" s="19">
        <f t="shared" si="5"/>
        <v>8.4195139664632546E-2</v>
      </c>
      <c r="AB167" s="19">
        <f t="shared" si="6"/>
        <v>-2.7001828254541671E-2</v>
      </c>
    </row>
    <row r="168" spans="1:28" x14ac:dyDescent="0.4">
      <c r="A168" s="12" t="s">
        <v>2979</v>
      </c>
      <c r="B168" s="12" t="s">
        <v>88</v>
      </c>
      <c r="C168" s="12" t="s">
        <v>259</v>
      </c>
      <c r="D168" s="13" t="s">
        <v>264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>
        <v>252398</v>
      </c>
      <c r="T168" s="14">
        <v>341314</v>
      </c>
      <c r="U168" s="14">
        <v>389190</v>
      </c>
      <c r="V168" s="14">
        <v>459702</v>
      </c>
      <c r="W168" s="14">
        <v>419477</v>
      </c>
      <c r="X168" s="14">
        <v>414275</v>
      </c>
      <c r="Y168" s="14">
        <v>448807</v>
      </c>
      <c r="Z168" s="14">
        <v>477440</v>
      </c>
      <c r="AA168" s="19">
        <f t="shared" si="5"/>
        <v>6.3798024540615561E-2</v>
      </c>
      <c r="AB168" s="19">
        <f t="shared" si="6"/>
        <v>3.858586649612139E-2</v>
      </c>
    </row>
    <row r="169" spans="1:28" x14ac:dyDescent="0.4">
      <c r="A169" s="12" t="s">
        <v>263</v>
      </c>
      <c r="B169" s="12" t="s">
        <v>88</v>
      </c>
      <c r="C169" s="12" t="s">
        <v>259</v>
      </c>
      <c r="D169" s="13" t="s">
        <v>264</v>
      </c>
      <c r="E169" s="14">
        <v>33254.140044</v>
      </c>
      <c r="F169" s="14">
        <v>40470.347587999997</v>
      </c>
      <c r="G169" s="14">
        <v>38865.246099999997</v>
      </c>
      <c r="H169" s="14">
        <v>37303.258029999997</v>
      </c>
      <c r="I169" s="14">
        <v>38216.072053000004</v>
      </c>
      <c r="J169" s="14">
        <v>85809.703383</v>
      </c>
      <c r="K169" s="14">
        <v>135652.82795199999</v>
      </c>
      <c r="L169" s="14">
        <v>176181.70326499999</v>
      </c>
      <c r="M169" s="14">
        <v>232396.78308299999</v>
      </c>
      <c r="N169" s="14">
        <v>293399.24786599999</v>
      </c>
      <c r="O169" s="14">
        <v>254991.151526</v>
      </c>
      <c r="P169" s="14">
        <v>330698.25886599999</v>
      </c>
      <c r="Q169" s="14">
        <v>257225.40064400001</v>
      </c>
      <c r="R169" s="14">
        <v>305567</v>
      </c>
      <c r="S169" s="14">
        <v>292992</v>
      </c>
      <c r="T169" s="14">
        <v>232679</v>
      </c>
      <c r="U169" s="14">
        <v>255603</v>
      </c>
      <c r="V169" s="20">
        <v>219456</v>
      </c>
      <c r="W169" s="20">
        <v>167438</v>
      </c>
      <c r="X169" s="20">
        <v>143828</v>
      </c>
      <c r="Y169" s="20">
        <v>150076</v>
      </c>
      <c r="Z169" s="20">
        <v>153251</v>
      </c>
      <c r="AA169" s="19">
        <f t="shared" si="5"/>
        <v>2.1155947653189067E-2</v>
      </c>
      <c r="AB169" s="19">
        <f t="shared" si="6"/>
        <v>-0.30167778506853316</v>
      </c>
    </row>
    <row r="170" spans="1:28" x14ac:dyDescent="0.4">
      <c r="A170" s="12" t="s">
        <v>265</v>
      </c>
      <c r="B170" s="12"/>
      <c r="C170" s="12"/>
      <c r="D170" s="13" t="s">
        <v>3017</v>
      </c>
      <c r="E170" s="14"/>
      <c r="F170" s="14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20">
        <v>12425286</v>
      </c>
      <c r="W170" s="20">
        <v>13344998</v>
      </c>
      <c r="X170" s="186">
        <v>13853724</v>
      </c>
      <c r="Y170" s="186">
        <v>15340242</v>
      </c>
      <c r="Z170" s="186">
        <v>20196435</v>
      </c>
      <c r="AA170" s="19">
        <f t="shared" si="5"/>
        <v>0.31656560567949321</v>
      </c>
      <c r="AB170" s="19">
        <f t="shared" si="6"/>
        <v>0.62543019130505328</v>
      </c>
    </row>
    <row r="172" spans="1:28" x14ac:dyDescent="0.4"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</sheetData>
  <autoFilter ref="A44:AB44" xr:uid="{00000000-0009-0000-0000-000001000000}">
    <sortState xmlns:xlrd2="http://schemas.microsoft.com/office/spreadsheetml/2017/richdata2" ref="A25:AB113">
      <sortCondition descending="1" ref="AA24"/>
    </sortState>
  </autoFilter>
  <phoneticPr fontId="3" type="noConversion"/>
  <conditionalFormatting sqref="AA45:AB170">
    <cfRule type="cellIs" dxfId="4" priority="1" operator="greaterThan">
      <formula>0</formula>
    </cfRule>
  </conditionalFormatting>
  <conditionalFormatting sqref="AB68">
    <cfRule type="cellIs" dxfId="3" priority="79" operator="greaterThan">
      <formula>0</formula>
    </cfRule>
  </conditionalFormatting>
  <conditionalFormatting sqref="AB79:AB80">
    <cfRule type="cellIs" dxfId="2" priority="142" operator="greaterThan">
      <formula>0</formula>
    </cfRule>
  </conditionalFormatting>
  <conditionalFormatting sqref="AB82">
    <cfRule type="cellIs" dxfId="1" priority="148" operator="greaterThan">
      <formula>0</formula>
    </cfRule>
  </conditionalFormatting>
  <pageMargins left="0.69999998807907104" right="0.69999998807907104" top="0.75" bottom="0.75" header="0.30000001192092896" footer="0.30000001192092896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DC21-1E7C-4506-A930-AE5107D6AB38}">
  <dimension ref="A1"/>
  <sheetViews>
    <sheetView zoomScaleNormal="100" workbookViewId="0">
      <selection activeCell="P17" sqref="P17"/>
    </sheetView>
  </sheetViews>
  <sheetFormatPr defaultRowHeight="17.399999999999999" x14ac:dyDescent="0.4"/>
  <sheetData/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00B050"/>
  </sheetPr>
  <dimension ref="A2:A153"/>
  <sheetViews>
    <sheetView view="pageBreakPreview" topLeftCell="F36" zoomScaleNormal="100" zoomScaleSheetLayoutView="100" workbookViewId="0">
      <selection activeCell="K45" sqref="K45"/>
    </sheetView>
  </sheetViews>
  <sheetFormatPr defaultRowHeight="17.399999999999999" x14ac:dyDescent="0.4"/>
  <sheetData>
    <row r="2" spans="1:1" x14ac:dyDescent="0.4">
      <c r="A2" s="83" t="s">
        <v>2919</v>
      </c>
    </row>
    <row r="45" spans="1:1" x14ac:dyDescent="0.4">
      <c r="A45" s="83" t="s">
        <v>2975</v>
      </c>
    </row>
    <row r="110" spans="1:1" x14ac:dyDescent="0.4">
      <c r="A110" s="83" t="s">
        <v>2920</v>
      </c>
    </row>
    <row r="153" spans="1:1" x14ac:dyDescent="0.4">
      <c r="A153" t="s">
        <v>2976</v>
      </c>
    </row>
  </sheetData>
  <phoneticPr fontId="3" type="noConversion"/>
  <pageMargins left="0.7" right="0.7" top="0.75" bottom="0.75" header="0.3" footer="0.3"/>
  <pageSetup paperSize="9" scale="4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A133"/>
  <sheetViews>
    <sheetView showGridLines="0" topLeftCell="I2" zoomScale="70" zoomScaleNormal="70" workbookViewId="0">
      <pane ySplit="4" topLeftCell="A6" activePane="bottomLeft" state="frozen"/>
      <selection activeCell="I35" sqref="I35"/>
      <selection pane="bottomLeft" activeCell="P28" sqref="P28"/>
    </sheetView>
  </sheetViews>
  <sheetFormatPr defaultColWidth="9" defaultRowHeight="13.2" x14ac:dyDescent="0.25"/>
  <cols>
    <col min="1" max="1" width="9" style="84"/>
    <col min="2" max="2" width="11.09765625" style="84" customWidth="1"/>
    <col min="3" max="3" width="23.3984375" style="84" customWidth="1"/>
    <col min="4" max="4" width="2.09765625" style="84" customWidth="1"/>
    <col min="5" max="16384" width="9" style="84"/>
  </cols>
  <sheetData>
    <row r="1" spans="1:27" hidden="1" x14ac:dyDescent="0.25">
      <c r="C1" s="85" t="e">
        <f ca="1">DotStatQuery(D1)</f>
        <v>#NAME?</v>
      </c>
      <c r="D1" s="85" t="s">
        <v>2921</v>
      </c>
    </row>
    <row r="2" spans="1:27" ht="13.2" customHeight="1" x14ac:dyDescent="0.25">
      <c r="C2" s="197" t="s">
        <v>2922</v>
      </c>
      <c r="D2" s="198"/>
      <c r="E2" s="199" t="s">
        <v>2923</v>
      </c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</row>
    <row r="3" spans="1:27" x14ac:dyDescent="0.25">
      <c r="C3" s="197" t="s">
        <v>2924</v>
      </c>
      <c r="D3" s="198"/>
      <c r="E3" s="201" t="s">
        <v>2925</v>
      </c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</row>
    <row r="4" spans="1:27" x14ac:dyDescent="0.25">
      <c r="C4" s="197" t="s">
        <v>2926</v>
      </c>
      <c r="D4" s="198"/>
      <c r="E4" s="201" t="s">
        <v>2927</v>
      </c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</row>
    <row r="5" spans="1:27" ht="41.4" x14ac:dyDescent="0.25">
      <c r="C5" s="203" t="s">
        <v>2928</v>
      </c>
      <c r="D5" s="204"/>
      <c r="E5" s="86" t="s">
        <v>2929</v>
      </c>
      <c r="F5" s="86" t="s">
        <v>2930</v>
      </c>
      <c r="G5" s="86" t="s">
        <v>2931</v>
      </c>
      <c r="H5" s="86" t="s">
        <v>2932</v>
      </c>
      <c r="I5" s="86" t="s">
        <v>2933</v>
      </c>
      <c r="J5" s="86" t="s">
        <v>2934</v>
      </c>
      <c r="K5" s="86" t="s">
        <v>2935</v>
      </c>
      <c r="L5" s="86" t="s">
        <v>2936</v>
      </c>
      <c r="M5" s="86" t="s">
        <v>2937</v>
      </c>
      <c r="N5" s="86" t="s">
        <v>2938</v>
      </c>
      <c r="O5" s="86" t="s">
        <v>2939</v>
      </c>
      <c r="P5" s="86" t="s">
        <v>2940</v>
      </c>
      <c r="Q5" s="86" t="s">
        <v>2941</v>
      </c>
      <c r="R5" s="86" t="s">
        <v>2942</v>
      </c>
      <c r="S5" s="86" t="s">
        <v>2943</v>
      </c>
    </row>
    <row r="6" spans="1:27" ht="13.95" customHeight="1" x14ac:dyDescent="0.3">
      <c r="A6" s="87" t="s">
        <v>2944</v>
      </c>
      <c r="B6" s="88"/>
      <c r="C6" s="89" t="s">
        <v>2945</v>
      </c>
      <c r="D6" s="90" t="s">
        <v>2946</v>
      </c>
      <c r="E6" s="90"/>
      <c r="F6" s="90"/>
      <c r="G6" s="90"/>
      <c r="H6" s="90"/>
      <c r="I6" s="90"/>
      <c r="J6" s="90"/>
      <c r="K6" s="91"/>
      <c r="L6" s="90"/>
      <c r="M6" s="90"/>
      <c r="N6" s="90"/>
      <c r="O6" s="90"/>
      <c r="P6" s="91"/>
      <c r="Q6" s="90"/>
      <c r="R6" s="90"/>
      <c r="S6" s="90"/>
    </row>
    <row r="7" spans="1:27" ht="13.8" x14ac:dyDescent="0.25">
      <c r="A7" s="84">
        <f t="shared" ref="A7:A15" si="0">COUNTIF(E7:S7,"&gt;0")</f>
        <v>15</v>
      </c>
      <c r="C7" s="92" t="s">
        <v>2951</v>
      </c>
      <c r="D7" s="93"/>
      <c r="E7" s="94">
        <v>99.62</v>
      </c>
      <c r="F7" s="94">
        <v>98.92</v>
      </c>
      <c r="G7" s="94">
        <v>99.22</v>
      </c>
      <c r="H7" s="94">
        <v>100.06</v>
      </c>
      <c r="I7" s="94">
        <v>99.45</v>
      </c>
      <c r="J7" s="94">
        <v>100.16</v>
      </c>
      <c r="K7" s="95">
        <v>100.68</v>
      </c>
      <c r="L7" s="94">
        <v>101.35</v>
      </c>
      <c r="M7" s="94">
        <v>99.31</v>
      </c>
      <c r="N7" s="94">
        <v>98.37</v>
      </c>
      <c r="O7" s="94">
        <v>101.2</v>
      </c>
      <c r="P7" s="95">
        <v>99.74</v>
      </c>
      <c r="Q7" s="94">
        <v>100.06</v>
      </c>
      <c r="R7" s="94">
        <v>99.86</v>
      </c>
      <c r="S7" s="94">
        <v>99.79</v>
      </c>
      <c r="U7" s="84">
        <v>102.11</v>
      </c>
      <c r="V7" s="84">
        <v>99</v>
      </c>
      <c r="W7" s="84">
        <v>100.23</v>
      </c>
      <c r="X7" s="84">
        <v>99.86</v>
      </c>
      <c r="Y7" s="84">
        <v>99.18</v>
      </c>
      <c r="Z7" s="84">
        <v>99.6</v>
      </c>
      <c r="AA7" s="84">
        <v>99.84</v>
      </c>
    </row>
    <row r="8" spans="1:27" ht="13.8" x14ac:dyDescent="0.25">
      <c r="A8" s="84">
        <f t="shared" si="0"/>
        <v>15</v>
      </c>
      <c r="C8" s="92" t="s">
        <v>2952</v>
      </c>
      <c r="D8" s="93"/>
      <c r="E8" s="94">
        <v>99.81</v>
      </c>
      <c r="F8" s="94">
        <v>99.19</v>
      </c>
      <c r="G8" s="94">
        <v>99.21</v>
      </c>
      <c r="H8" s="94">
        <v>100.1</v>
      </c>
      <c r="I8" s="94">
        <v>99.62</v>
      </c>
      <c r="J8" s="94">
        <v>100.15</v>
      </c>
      <c r="K8" s="95">
        <v>100.71</v>
      </c>
      <c r="L8" s="94">
        <v>101.06</v>
      </c>
      <c r="M8" s="94">
        <v>99.39</v>
      </c>
      <c r="N8" s="94">
        <v>98.52</v>
      </c>
      <c r="O8" s="94">
        <v>101.35</v>
      </c>
      <c r="P8" s="95">
        <v>99.79</v>
      </c>
      <c r="Q8" s="94">
        <v>100.14</v>
      </c>
      <c r="R8" s="94">
        <v>99.92</v>
      </c>
      <c r="S8" s="94">
        <v>99.79</v>
      </c>
      <c r="U8" s="84">
        <v>102.21</v>
      </c>
      <c r="V8" s="84">
        <v>98.83</v>
      </c>
      <c r="W8" s="84">
        <v>100.26</v>
      </c>
      <c r="X8" s="84">
        <v>100.07</v>
      </c>
      <c r="Y8" s="84">
        <v>99.35</v>
      </c>
      <c r="Z8" s="84">
        <v>99.53</v>
      </c>
      <c r="AA8" s="84">
        <v>99.88</v>
      </c>
    </row>
    <row r="9" spans="1:27" ht="13.8" x14ac:dyDescent="0.25">
      <c r="A9" s="84">
        <f t="shared" si="0"/>
        <v>15</v>
      </c>
      <c r="C9" s="92" t="s">
        <v>2953</v>
      </c>
      <c r="D9" s="93"/>
      <c r="E9" s="94">
        <v>99.96</v>
      </c>
      <c r="F9" s="94">
        <v>99.49</v>
      </c>
      <c r="G9" s="94">
        <v>99.25</v>
      </c>
      <c r="H9" s="94">
        <v>100.11</v>
      </c>
      <c r="I9" s="94">
        <v>99.79</v>
      </c>
      <c r="J9" s="94">
        <v>100.11</v>
      </c>
      <c r="K9" s="95">
        <v>100.71</v>
      </c>
      <c r="L9" s="94">
        <v>100.74</v>
      </c>
      <c r="M9" s="94">
        <v>99.55</v>
      </c>
      <c r="N9" s="94">
        <v>98.73</v>
      </c>
      <c r="O9" s="94">
        <v>101.39</v>
      </c>
      <c r="P9" s="95">
        <v>99.9</v>
      </c>
      <c r="Q9" s="94">
        <v>100.19</v>
      </c>
      <c r="R9" s="94">
        <v>100</v>
      </c>
      <c r="S9" s="94">
        <v>99.82</v>
      </c>
      <c r="U9" s="84">
        <v>102.25</v>
      </c>
      <c r="V9" s="84">
        <v>98.77</v>
      </c>
      <c r="W9" s="84">
        <v>100.28</v>
      </c>
      <c r="X9" s="84">
        <v>100.29</v>
      </c>
      <c r="Y9" s="84">
        <v>99.55</v>
      </c>
      <c r="Z9" s="84">
        <v>99.51</v>
      </c>
      <c r="AA9" s="84">
        <v>99.96</v>
      </c>
    </row>
    <row r="10" spans="1:27" ht="13.8" x14ac:dyDescent="0.25">
      <c r="A10" s="84">
        <f t="shared" si="0"/>
        <v>15</v>
      </c>
      <c r="C10" s="96" t="s">
        <v>2954</v>
      </c>
      <c r="D10" s="97"/>
      <c r="E10" s="98">
        <v>100.06</v>
      </c>
      <c r="F10" s="98">
        <v>99.81</v>
      </c>
      <c r="G10" s="98">
        <v>99.32</v>
      </c>
      <c r="H10" s="98">
        <v>100.09</v>
      </c>
      <c r="I10" s="98">
        <v>99.94</v>
      </c>
      <c r="J10" s="98">
        <v>100.06</v>
      </c>
      <c r="K10" s="95">
        <v>100.68</v>
      </c>
      <c r="L10" s="98">
        <v>100.44</v>
      </c>
      <c r="M10" s="98">
        <v>99.8</v>
      </c>
      <c r="N10" s="98">
        <v>99.06</v>
      </c>
      <c r="O10" s="98">
        <v>101.33</v>
      </c>
      <c r="P10" s="95">
        <v>100.05</v>
      </c>
      <c r="Q10" s="98">
        <v>100.22</v>
      </c>
      <c r="R10" s="98">
        <v>100.1</v>
      </c>
      <c r="S10" s="98">
        <v>99.89</v>
      </c>
      <c r="U10" s="84">
        <v>102.21</v>
      </c>
      <c r="V10" s="84">
        <v>98.84</v>
      </c>
      <c r="W10" s="84">
        <v>100.28</v>
      </c>
      <c r="X10" s="84">
        <v>100.46</v>
      </c>
      <c r="Y10" s="84">
        <v>99.78</v>
      </c>
      <c r="Z10" s="84">
        <v>99.56</v>
      </c>
      <c r="AA10" s="84">
        <v>100.08</v>
      </c>
    </row>
    <row r="11" spans="1:27" ht="13.8" x14ac:dyDescent="0.25">
      <c r="A11" s="84">
        <f t="shared" si="0"/>
        <v>15</v>
      </c>
      <c r="C11" s="92" t="s">
        <v>2998</v>
      </c>
      <c r="D11" s="93"/>
      <c r="E11" s="94">
        <v>100.12</v>
      </c>
      <c r="F11" s="94">
        <v>100.12</v>
      </c>
      <c r="G11" s="94">
        <v>99.42</v>
      </c>
      <c r="H11" s="94">
        <v>100.08</v>
      </c>
      <c r="I11" s="94">
        <v>100.06</v>
      </c>
      <c r="J11" s="94">
        <v>99.99</v>
      </c>
      <c r="K11" s="95">
        <v>100.66</v>
      </c>
      <c r="L11" s="94">
        <v>100.2</v>
      </c>
      <c r="M11" s="94">
        <v>100.08</v>
      </c>
      <c r="N11" s="94">
        <v>99.47</v>
      </c>
      <c r="O11" s="94">
        <v>101.23</v>
      </c>
      <c r="P11" s="95">
        <v>100.23</v>
      </c>
      <c r="Q11" s="94">
        <v>100.23</v>
      </c>
      <c r="R11" s="94">
        <v>100.2</v>
      </c>
      <c r="S11" s="94">
        <v>99.99</v>
      </c>
      <c r="U11" s="84">
        <v>102.08</v>
      </c>
      <c r="V11" s="84">
        <v>99.03</v>
      </c>
      <c r="W11" s="84">
        <v>100.26</v>
      </c>
      <c r="X11" s="84">
        <v>100.55</v>
      </c>
      <c r="Y11" s="84">
        <v>100.03</v>
      </c>
      <c r="Z11" s="84">
        <v>99.66</v>
      </c>
      <c r="AA11" s="84">
        <v>100.22</v>
      </c>
    </row>
    <row r="12" spans="1:27" ht="13.8" x14ac:dyDescent="0.25">
      <c r="A12" s="84">
        <f t="shared" si="0"/>
        <v>15</v>
      </c>
      <c r="C12" s="92" t="s">
        <v>3001</v>
      </c>
      <c r="D12" s="93"/>
      <c r="E12" s="94">
        <v>100.15</v>
      </c>
      <c r="F12" s="94">
        <v>100.4</v>
      </c>
      <c r="G12" s="94">
        <v>99.55</v>
      </c>
      <c r="H12" s="94">
        <v>100.06</v>
      </c>
      <c r="I12" s="94">
        <v>100.14</v>
      </c>
      <c r="J12" s="94">
        <v>99.93</v>
      </c>
      <c r="K12" s="95">
        <v>100.66</v>
      </c>
      <c r="L12" s="94">
        <v>100.06</v>
      </c>
      <c r="M12" s="94">
        <v>100.33</v>
      </c>
      <c r="N12" s="94">
        <v>99.89</v>
      </c>
      <c r="O12" s="94">
        <v>101.14</v>
      </c>
      <c r="P12" s="95">
        <v>100.41</v>
      </c>
      <c r="Q12" s="94">
        <v>100.26</v>
      </c>
      <c r="R12" s="94">
        <v>100.3</v>
      </c>
      <c r="S12" s="94">
        <v>100.11</v>
      </c>
      <c r="U12" s="84">
        <v>101.9</v>
      </c>
      <c r="V12" s="84">
        <v>99.28</v>
      </c>
      <c r="W12" s="84">
        <v>100.24</v>
      </c>
      <c r="X12" s="84">
        <v>100.58</v>
      </c>
      <c r="Y12" s="84">
        <v>100.26</v>
      </c>
      <c r="Z12" s="84">
        <v>99.79</v>
      </c>
      <c r="AA12" s="84">
        <v>100.38</v>
      </c>
    </row>
    <row r="13" spans="1:27" ht="13.8" x14ac:dyDescent="0.25">
      <c r="A13" s="84">
        <f t="shared" si="0"/>
        <v>15</v>
      </c>
      <c r="C13" s="92" t="s">
        <v>3002</v>
      </c>
      <c r="D13" s="93"/>
      <c r="E13" s="94">
        <v>100.17</v>
      </c>
      <c r="F13" s="94">
        <v>100.63</v>
      </c>
      <c r="G13" s="94">
        <v>99.72</v>
      </c>
      <c r="H13" s="94">
        <v>100.08</v>
      </c>
      <c r="I13" s="94">
        <v>100.19</v>
      </c>
      <c r="J13" s="94">
        <v>99.87</v>
      </c>
      <c r="K13" s="95">
        <v>100.7</v>
      </c>
      <c r="L13" s="94">
        <v>99.99</v>
      </c>
      <c r="M13" s="94">
        <v>100.56</v>
      </c>
      <c r="N13" s="94">
        <v>100.27</v>
      </c>
      <c r="O13" s="94">
        <v>101.09</v>
      </c>
      <c r="P13" s="95">
        <v>100.55</v>
      </c>
      <c r="Q13" s="94">
        <v>100.3</v>
      </c>
      <c r="R13" s="94">
        <v>100.4</v>
      </c>
      <c r="S13" s="94">
        <v>100.23</v>
      </c>
      <c r="U13" s="84">
        <v>101.71</v>
      </c>
      <c r="V13" s="84">
        <v>99.58</v>
      </c>
      <c r="W13" s="84">
        <v>100.21</v>
      </c>
      <c r="X13" s="84">
        <v>100.56</v>
      </c>
      <c r="Y13" s="84">
        <v>100.43</v>
      </c>
      <c r="Z13" s="84">
        <v>99.93</v>
      </c>
      <c r="AA13" s="84">
        <v>100.51</v>
      </c>
    </row>
    <row r="14" spans="1:27" ht="13.8" x14ac:dyDescent="0.25">
      <c r="A14" s="84">
        <f t="shared" si="0"/>
        <v>15</v>
      </c>
      <c r="C14" s="92" t="s">
        <v>3005</v>
      </c>
      <c r="D14" s="93"/>
      <c r="E14" s="94">
        <v>100.2</v>
      </c>
      <c r="F14" s="94">
        <v>100.8</v>
      </c>
      <c r="G14" s="94">
        <v>99.9</v>
      </c>
      <c r="H14" s="94">
        <v>100.15</v>
      </c>
      <c r="I14" s="94">
        <v>100.22</v>
      </c>
      <c r="J14" s="94">
        <v>99.83</v>
      </c>
      <c r="K14" s="95">
        <v>100.79</v>
      </c>
      <c r="L14" s="94">
        <v>99.97</v>
      </c>
      <c r="M14" s="94">
        <v>100.74</v>
      </c>
      <c r="N14" s="94">
        <v>100.54</v>
      </c>
      <c r="O14" s="94">
        <v>101.11</v>
      </c>
      <c r="P14" s="95">
        <v>100.65</v>
      </c>
      <c r="Q14" s="94">
        <v>100.37</v>
      </c>
      <c r="R14" s="94">
        <v>100.47</v>
      </c>
      <c r="S14" s="94">
        <v>100.35</v>
      </c>
      <c r="U14" s="84">
        <v>101.55</v>
      </c>
      <c r="V14" s="84">
        <v>99.88</v>
      </c>
      <c r="W14" s="84">
        <v>100.19</v>
      </c>
      <c r="X14" s="84">
        <v>100.52</v>
      </c>
      <c r="Y14" s="84">
        <v>100.57</v>
      </c>
      <c r="Z14" s="84">
        <v>100.09</v>
      </c>
      <c r="AA14" s="84">
        <v>100.6</v>
      </c>
    </row>
    <row r="15" spans="1:27" ht="13.8" x14ac:dyDescent="0.25">
      <c r="A15" s="84">
        <f t="shared" si="0"/>
        <v>15</v>
      </c>
      <c r="C15" s="92" t="s">
        <v>3022</v>
      </c>
      <c r="D15" s="93"/>
      <c r="E15" s="94">
        <v>100.22</v>
      </c>
      <c r="F15" s="94">
        <v>100.9</v>
      </c>
      <c r="G15" s="94">
        <v>100.09</v>
      </c>
      <c r="H15" s="94">
        <v>100.26</v>
      </c>
      <c r="I15" s="94">
        <v>100.25</v>
      </c>
      <c r="J15" s="94">
        <v>99.8</v>
      </c>
      <c r="K15" s="95">
        <v>100.91</v>
      </c>
      <c r="L15" s="94">
        <v>100</v>
      </c>
      <c r="M15" s="94">
        <v>100.89</v>
      </c>
      <c r="N15" s="94">
        <v>100.72</v>
      </c>
      <c r="O15" s="94">
        <v>101.19</v>
      </c>
      <c r="P15" s="95">
        <v>100.68</v>
      </c>
      <c r="Q15" s="94">
        <v>100.48</v>
      </c>
      <c r="R15" s="94">
        <v>100.53</v>
      </c>
      <c r="S15" s="94">
        <v>100.46</v>
      </c>
      <c r="U15" s="84">
        <v>101.46</v>
      </c>
      <c r="V15" s="84">
        <v>100.18</v>
      </c>
      <c r="W15" s="84">
        <v>100.16</v>
      </c>
      <c r="X15" s="84">
        <v>100.46</v>
      </c>
      <c r="Y15" s="84">
        <v>100.67</v>
      </c>
      <c r="Z15" s="84">
        <v>100.25</v>
      </c>
      <c r="AA15" s="84">
        <v>100.64</v>
      </c>
    </row>
    <row r="16" spans="1:27" ht="13.8" x14ac:dyDescent="0.25">
      <c r="C16" s="92" t="s">
        <v>3023</v>
      </c>
      <c r="D16" s="93"/>
      <c r="E16" s="94">
        <v>100.25</v>
      </c>
      <c r="F16" s="94">
        <v>100.97</v>
      </c>
      <c r="G16" s="94">
        <v>100.26</v>
      </c>
      <c r="H16" s="94">
        <v>100.41</v>
      </c>
      <c r="I16" s="94">
        <v>100.26</v>
      </c>
      <c r="J16" s="94">
        <v>99.78</v>
      </c>
      <c r="K16" s="95">
        <v>101.04</v>
      </c>
      <c r="L16" s="94">
        <v>100</v>
      </c>
      <c r="M16" s="94">
        <v>101</v>
      </c>
      <c r="N16" s="94">
        <v>100.83</v>
      </c>
      <c r="O16" s="94">
        <v>101.29</v>
      </c>
      <c r="P16" s="95">
        <v>100.68</v>
      </c>
      <c r="Q16" s="94">
        <v>100.6</v>
      </c>
      <c r="R16" s="94">
        <v>100.56</v>
      </c>
      <c r="S16" s="94">
        <v>100.56</v>
      </c>
      <c r="U16" s="84">
        <v>101.43</v>
      </c>
      <c r="V16" s="84">
        <v>100.49</v>
      </c>
      <c r="W16" s="84">
        <v>100.1</v>
      </c>
      <c r="X16" s="84">
        <v>100.41</v>
      </c>
      <c r="Y16" s="84">
        <v>100.76</v>
      </c>
      <c r="Z16" s="84">
        <v>100.4</v>
      </c>
      <c r="AA16" s="84">
        <v>100.64</v>
      </c>
    </row>
    <row r="17" spans="2:19" ht="14.4" thickBot="1" x14ac:dyDescent="0.3">
      <c r="C17" s="99"/>
      <c r="D17" s="100"/>
      <c r="E17" s="94"/>
      <c r="F17" s="94"/>
      <c r="G17" s="94"/>
      <c r="H17" s="94"/>
      <c r="I17" s="94"/>
      <c r="J17" s="94"/>
      <c r="K17" s="122"/>
      <c r="L17" s="94"/>
      <c r="M17" s="94"/>
      <c r="N17" s="94"/>
      <c r="O17" s="94"/>
      <c r="P17" s="95"/>
      <c r="Q17" s="94"/>
      <c r="R17" s="94"/>
      <c r="S17" s="94"/>
    </row>
    <row r="18" spans="2:19" ht="41.4" x14ac:dyDescent="0.25">
      <c r="C18" s="203" t="s">
        <v>2928</v>
      </c>
      <c r="D18" s="204"/>
      <c r="E18" s="86" t="s">
        <v>2929</v>
      </c>
      <c r="F18" s="86" t="s">
        <v>2930</v>
      </c>
      <c r="G18" s="86" t="s">
        <v>2931</v>
      </c>
      <c r="H18" s="86" t="s">
        <v>2932</v>
      </c>
      <c r="I18" s="86" t="s">
        <v>2933</v>
      </c>
      <c r="J18" s="121" t="s">
        <v>2934</v>
      </c>
      <c r="K18" s="123" t="s">
        <v>2935</v>
      </c>
      <c r="L18" s="86" t="s">
        <v>2936</v>
      </c>
      <c r="M18" s="86" t="s">
        <v>2937</v>
      </c>
      <c r="N18" s="86" t="s">
        <v>2938</v>
      </c>
      <c r="O18" s="86" t="s">
        <v>2939</v>
      </c>
      <c r="P18" s="86" t="s">
        <v>2940</v>
      </c>
      <c r="Q18" s="86" t="s">
        <v>2941</v>
      </c>
      <c r="R18" s="86" t="s">
        <v>2942</v>
      </c>
      <c r="S18" s="86" t="s">
        <v>2943</v>
      </c>
    </row>
    <row r="19" spans="2:19" ht="17.399999999999999" x14ac:dyDescent="0.4">
      <c r="B19" s="101" t="s">
        <v>2955</v>
      </c>
      <c r="C19" s="102" t="str">
        <f t="shared" ref="C19:C28" si="1">C7</f>
        <v>2024-Jun</v>
      </c>
      <c r="E19" s="103" t="str">
        <f>IFERROR(E7/#REF!-1,"")</f>
        <v/>
      </c>
      <c r="F19" s="103" t="str">
        <f>IFERROR(F7/#REF!-1,"")</f>
        <v/>
      </c>
      <c r="G19" s="103" t="str">
        <f>IFERROR(G7/#REF!-1,"")</f>
        <v/>
      </c>
      <c r="H19" s="103" t="str">
        <f>IFERROR(H7/#REF!-1,"")</f>
        <v/>
      </c>
      <c r="I19" s="103" t="str">
        <f>IFERROR(I7/#REF!-1,"")</f>
        <v/>
      </c>
      <c r="J19" s="103" t="str">
        <f>IFERROR(J7/#REF!-1,"")</f>
        <v/>
      </c>
      <c r="K19" s="124" t="str">
        <f>IFERROR(K7/#REF!-1,"")</f>
        <v/>
      </c>
      <c r="L19" s="103" t="str">
        <f>IFERROR(L7/#REF!-1,"")</f>
        <v/>
      </c>
      <c r="M19" s="103" t="str">
        <f>IFERROR(M7/#REF!-1,"")</f>
        <v/>
      </c>
      <c r="N19" s="103" t="str">
        <f>IFERROR(N7/#REF!-1,"")</f>
        <v/>
      </c>
      <c r="O19" s="103" t="str">
        <f>IFERROR(O7/#REF!-1,"")</f>
        <v/>
      </c>
      <c r="P19" s="104" t="str">
        <f>IFERROR(P7/#REF!-1,"")</f>
        <v/>
      </c>
      <c r="Q19" s="103" t="str">
        <f>IFERROR(Q7/#REF!-1,"")</f>
        <v/>
      </c>
      <c r="R19" s="103" t="str">
        <f>IFERROR(R7/#REF!-1,"")</f>
        <v/>
      </c>
      <c r="S19" s="103" t="str">
        <f>IFERROR(S7/#REF!-1,"")</f>
        <v/>
      </c>
    </row>
    <row r="20" spans="2:19" ht="17.399999999999999" x14ac:dyDescent="0.4">
      <c r="B20" s="105">
        <f>(COUNTIF(E20:P20,"&gt;0"))-(COUNTIF(E20:P20,"&lt;0"))/12*100</f>
        <v>-16</v>
      </c>
      <c r="C20" s="102" t="str">
        <f t="shared" si="1"/>
        <v>2024-Jul</v>
      </c>
      <c r="E20" s="103">
        <f t="shared" ref="E20:S28" si="2">IFERROR(E8/E7-1,"")</f>
        <v>1.907247540654522E-3</v>
      </c>
      <c r="F20" s="103">
        <f t="shared" si="2"/>
        <v>2.7294783663565081E-3</v>
      </c>
      <c r="G20" s="103">
        <f t="shared" si="2"/>
        <v>-1.0078613182828988E-4</v>
      </c>
      <c r="H20" s="103">
        <f t="shared" si="2"/>
        <v>3.9976014391363002E-4</v>
      </c>
      <c r="I20" s="103">
        <f t="shared" si="2"/>
        <v>1.7094017094017033E-3</v>
      </c>
      <c r="J20" s="103">
        <f t="shared" si="2"/>
        <v>-9.9840255590954996E-5</v>
      </c>
      <c r="K20" s="124">
        <f t="shared" si="2"/>
        <v>2.9797377830731442E-4</v>
      </c>
      <c r="L20" s="103">
        <f t="shared" si="2"/>
        <v>-2.8613714849530236E-3</v>
      </c>
      <c r="M20" s="103">
        <f t="shared" si="2"/>
        <v>8.0555835263318443E-4</v>
      </c>
      <c r="N20" s="103">
        <f t="shared" si="2"/>
        <v>1.5248551387616605E-3</v>
      </c>
      <c r="O20" s="103">
        <f t="shared" si="2"/>
        <v>1.4822134387351138E-3</v>
      </c>
      <c r="P20" s="104">
        <f t="shared" si="2"/>
        <v>5.0130338881104741E-4</v>
      </c>
      <c r="Q20" s="103">
        <f t="shared" si="2"/>
        <v>7.9952028782726003E-4</v>
      </c>
      <c r="R20" s="103">
        <f t="shared" si="2"/>
        <v>6.0084117764880318E-4</v>
      </c>
      <c r="S20" s="103">
        <f t="shared" si="2"/>
        <v>0</v>
      </c>
    </row>
    <row r="21" spans="2:19" ht="17.399999999999999" x14ac:dyDescent="0.4">
      <c r="B21" s="105">
        <f>(COUNTIF(E21:P21,"&gt;0"))-(COUNTIF(E21:P21,"&lt;0"))/12*100</f>
        <v>-7.6666666666666643</v>
      </c>
      <c r="C21" s="102" t="str">
        <f t="shared" si="1"/>
        <v>2024-Aug</v>
      </c>
      <c r="E21" s="103">
        <f t="shared" si="2"/>
        <v>1.5028554253080362E-3</v>
      </c>
      <c r="F21" s="103">
        <f t="shared" si="2"/>
        <v>3.0244984373424266E-3</v>
      </c>
      <c r="G21" s="103">
        <f t="shared" si="2"/>
        <v>4.0318516278614602E-4</v>
      </c>
      <c r="H21" s="103">
        <f t="shared" si="2"/>
        <v>9.9900099900240846E-5</v>
      </c>
      <c r="I21" s="103">
        <f t="shared" si="2"/>
        <v>1.7064846416381396E-3</v>
      </c>
      <c r="J21" s="103">
        <f t="shared" si="2"/>
        <v>-3.9940089865209139E-4</v>
      </c>
      <c r="K21" s="124">
        <f t="shared" si="2"/>
        <v>0</v>
      </c>
      <c r="L21" s="103">
        <f t="shared" si="2"/>
        <v>-3.166435780724397E-3</v>
      </c>
      <c r="M21" s="103">
        <f t="shared" si="2"/>
        <v>1.6098199013985237E-3</v>
      </c>
      <c r="N21" s="103">
        <f t="shared" si="2"/>
        <v>2.1315468940317217E-3</v>
      </c>
      <c r="O21" s="103">
        <f t="shared" si="2"/>
        <v>3.9467192895914494E-4</v>
      </c>
      <c r="P21" s="104">
        <f t="shared" si="2"/>
        <v>1.1023148612085976E-3</v>
      </c>
      <c r="Q21" s="103">
        <f t="shared" si="2"/>
        <v>4.9930097862982414E-4</v>
      </c>
      <c r="R21" s="103">
        <f t="shared" si="2"/>
        <v>8.0064051240991141E-4</v>
      </c>
      <c r="S21" s="103">
        <f t="shared" si="2"/>
        <v>3.0063132578406204E-4</v>
      </c>
    </row>
    <row r="22" spans="2:19" ht="17.399999999999999" x14ac:dyDescent="0.4">
      <c r="B22" s="105">
        <f t="shared" ref="B22:B25" si="3">(COUNTIF(E22:P22,"&gt;0"))-(COUNTIF(E22:P22,"&lt;0"))/12*100</f>
        <v>-34.666666666666671</v>
      </c>
      <c r="C22" s="102" t="str">
        <f t="shared" si="1"/>
        <v>2024-Sep</v>
      </c>
      <c r="E22" s="103">
        <f t="shared" si="2"/>
        <v>1.0004001600640855E-3</v>
      </c>
      <c r="F22" s="103">
        <f t="shared" si="2"/>
        <v>3.2164036586592726E-3</v>
      </c>
      <c r="G22" s="103">
        <f t="shared" si="2"/>
        <v>7.0528967254390729E-4</v>
      </c>
      <c r="H22" s="103">
        <f t="shared" si="2"/>
        <v>-1.9978024173405995E-4</v>
      </c>
      <c r="I22" s="103">
        <f t="shared" si="2"/>
        <v>1.5031566289207543E-3</v>
      </c>
      <c r="J22" s="103">
        <f t="shared" si="2"/>
        <v>-4.9945060433520538E-4</v>
      </c>
      <c r="K22" s="124">
        <f t="shared" si="2"/>
        <v>-2.978850163835034E-4</v>
      </c>
      <c r="L22" s="103">
        <f t="shared" si="2"/>
        <v>-2.9779630732578166E-3</v>
      </c>
      <c r="M22" s="103">
        <f t="shared" si="2"/>
        <v>2.5113008538422132E-3</v>
      </c>
      <c r="N22" s="103">
        <f t="shared" si="2"/>
        <v>3.3424491036158077E-3</v>
      </c>
      <c r="O22" s="103">
        <f t="shared" si="2"/>
        <v>-5.9177433671964152E-4</v>
      </c>
      <c r="P22" s="104">
        <f t="shared" si="2"/>
        <v>1.5015015015014122E-3</v>
      </c>
      <c r="Q22" s="103">
        <f t="shared" si="2"/>
        <v>2.9943108094632187E-4</v>
      </c>
      <c r="R22" s="103">
        <f t="shared" si="2"/>
        <v>9.9999999999988987E-4</v>
      </c>
      <c r="S22" s="103">
        <f t="shared" si="2"/>
        <v>7.0126227208988645E-4</v>
      </c>
    </row>
    <row r="23" spans="2:19" ht="17.399999999999999" x14ac:dyDescent="0.4">
      <c r="B23" s="105">
        <f>(COUNTIF(E23:P23,"&gt;0"))-(COUNTIF(E23:P23,"&lt;0"))/12*100</f>
        <v>-34.666666666666671</v>
      </c>
      <c r="C23" s="102" t="str">
        <f t="shared" si="1"/>
        <v>2024-Oct</v>
      </c>
      <c r="E23" s="103">
        <f t="shared" si="2"/>
        <v>5.9964021587055605E-4</v>
      </c>
      <c r="F23" s="103">
        <f t="shared" si="2"/>
        <v>3.1059012123033636E-3</v>
      </c>
      <c r="G23" s="103">
        <f t="shared" si="2"/>
        <v>1.006846556584895E-3</v>
      </c>
      <c r="H23" s="103">
        <f t="shared" si="2"/>
        <v>-9.9910080927245737E-5</v>
      </c>
      <c r="I23" s="103">
        <f t="shared" si="2"/>
        <v>1.2007204322594944E-3</v>
      </c>
      <c r="J23" s="103">
        <f t="shared" si="2"/>
        <v>-6.9958025184901906E-4</v>
      </c>
      <c r="K23" s="124">
        <f t="shared" si="2"/>
        <v>-1.9864918553846866E-4</v>
      </c>
      <c r="L23" s="103">
        <f t="shared" si="2"/>
        <v>-2.3894862604539879E-3</v>
      </c>
      <c r="M23" s="103">
        <f t="shared" si="2"/>
        <v>2.805611222444826E-3</v>
      </c>
      <c r="N23" s="103">
        <f t="shared" si="2"/>
        <v>4.1389057137088958E-3</v>
      </c>
      <c r="O23" s="103">
        <f t="shared" si="2"/>
        <v>-9.8687456824231301E-4</v>
      </c>
      <c r="P23" s="104">
        <f t="shared" si="2"/>
        <v>1.7991004497752705E-3</v>
      </c>
      <c r="Q23" s="103">
        <f t="shared" si="2"/>
        <v>9.9780482937683601E-5</v>
      </c>
      <c r="R23" s="103">
        <f t="shared" si="2"/>
        <v>9.990009990010762E-4</v>
      </c>
      <c r="S23" s="103">
        <f t="shared" si="2"/>
        <v>1.0011012113324558E-3</v>
      </c>
    </row>
    <row r="24" spans="2:19" ht="17.399999999999999" x14ac:dyDescent="0.4">
      <c r="B24" s="105">
        <f t="shared" si="3"/>
        <v>-26.333333333333329</v>
      </c>
      <c r="C24" s="102" t="str">
        <f t="shared" si="1"/>
        <v>2024-Nov</v>
      </c>
      <c r="E24" s="103">
        <f t="shared" si="2"/>
        <v>2.9964043148233976E-4</v>
      </c>
      <c r="F24" s="103">
        <f t="shared" si="2"/>
        <v>2.7966440271673942E-3</v>
      </c>
      <c r="G24" s="103">
        <f t="shared" si="2"/>
        <v>1.3075839871252715E-3</v>
      </c>
      <c r="H24" s="103">
        <f t="shared" si="2"/>
        <v>-1.998401278976436E-4</v>
      </c>
      <c r="I24" s="103">
        <f t="shared" si="2"/>
        <v>7.9952028782726003E-4</v>
      </c>
      <c r="J24" s="103">
        <f t="shared" si="2"/>
        <v>-6.0006000600043574E-4</v>
      </c>
      <c r="K24" s="124">
        <f t="shared" si="2"/>
        <v>0</v>
      </c>
      <c r="L24" s="103">
        <f t="shared" si="2"/>
        <v>-1.3972055888223922E-3</v>
      </c>
      <c r="M24" s="103">
        <f t="shared" si="2"/>
        <v>2.4980015987210447E-3</v>
      </c>
      <c r="N24" s="103">
        <f t="shared" si="2"/>
        <v>4.2223786066151181E-3</v>
      </c>
      <c r="O24" s="103">
        <f t="shared" si="2"/>
        <v>-8.8906450656922598E-4</v>
      </c>
      <c r="P24" s="104">
        <f t="shared" si="2"/>
        <v>1.7958695001496494E-3</v>
      </c>
      <c r="Q24" s="103">
        <f t="shared" si="2"/>
        <v>2.993115833582749E-4</v>
      </c>
      <c r="R24" s="103">
        <f t="shared" si="2"/>
        <v>9.9800399201588341E-4</v>
      </c>
      <c r="S24" s="103">
        <f t="shared" si="2"/>
        <v>1.2001200120013156E-3</v>
      </c>
    </row>
    <row r="25" spans="2:19" ht="17.399999999999999" x14ac:dyDescent="0.4">
      <c r="B25" s="105">
        <f t="shared" si="3"/>
        <v>-16</v>
      </c>
      <c r="C25" s="102" t="str">
        <f t="shared" si="1"/>
        <v>2024-Dec</v>
      </c>
      <c r="E25" s="103">
        <f t="shared" si="2"/>
        <v>1.9970044932593467E-4</v>
      </c>
      <c r="F25" s="103">
        <f t="shared" si="2"/>
        <v>2.2908366533862523E-3</v>
      </c>
      <c r="G25" s="103">
        <f t="shared" si="2"/>
        <v>1.7076845806127672E-3</v>
      </c>
      <c r="H25" s="103">
        <f t="shared" si="2"/>
        <v>1.9988007195670399E-4</v>
      </c>
      <c r="I25" s="103">
        <f t="shared" si="2"/>
        <v>4.9930097862982414E-4</v>
      </c>
      <c r="J25" s="103">
        <f t="shared" si="2"/>
        <v>-6.004202942059278E-4</v>
      </c>
      <c r="K25" s="124">
        <f t="shared" si="2"/>
        <v>3.9737730975564212E-4</v>
      </c>
      <c r="L25" s="103">
        <f t="shared" si="2"/>
        <v>-6.9958025184901906E-4</v>
      </c>
      <c r="M25" s="103">
        <f t="shared" si="2"/>
        <v>2.2924349646167297E-3</v>
      </c>
      <c r="N25" s="103">
        <f t="shared" si="2"/>
        <v>3.8041846030634208E-3</v>
      </c>
      <c r="O25" s="103">
        <f t="shared" si="2"/>
        <v>-4.9436424757753894E-4</v>
      </c>
      <c r="P25" s="104">
        <f t="shared" si="2"/>
        <v>1.3942834379045976E-3</v>
      </c>
      <c r="Q25" s="103">
        <f t="shared" si="2"/>
        <v>3.9896269698780351E-4</v>
      </c>
      <c r="R25" s="103">
        <f t="shared" si="2"/>
        <v>9.9700897308085956E-4</v>
      </c>
      <c r="S25" s="103">
        <f t="shared" si="2"/>
        <v>1.1986814504045817E-3</v>
      </c>
    </row>
    <row r="26" spans="2:19" ht="17.399999999999999" x14ac:dyDescent="0.4">
      <c r="B26" s="105">
        <f>(COUNTIF(E26:P26,"&gt;0"))-(COUNTIF(E26:P26,"&lt;0"))/12*100</f>
        <v>-6.6666666666666643</v>
      </c>
      <c r="C26" s="102" t="str">
        <f t="shared" si="1"/>
        <v>2025-Jan</v>
      </c>
      <c r="E26" s="103">
        <f t="shared" si="2"/>
        <v>2.9949086552871762E-4</v>
      </c>
      <c r="F26" s="103">
        <f t="shared" si="2"/>
        <v>1.6893570505813749E-3</v>
      </c>
      <c r="G26" s="103">
        <f t="shared" si="2"/>
        <v>1.8050541516245744E-3</v>
      </c>
      <c r="H26" s="103">
        <f t="shared" si="2"/>
        <v>6.9944044764191915E-4</v>
      </c>
      <c r="I26" s="103">
        <f t="shared" si="2"/>
        <v>2.9943108094632187E-4</v>
      </c>
      <c r="J26" s="103">
        <f t="shared" si="2"/>
        <v>-4.0052067688001181E-4</v>
      </c>
      <c r="K26" s="124">
        <f t="shared" si="2"/>
        <v>8.9374379344597799E-4</v>
      </c>
      <c r="L26" s="103">
        <f t="shared" si="2"/>
        <v>-2.0002000200014525E-4</v>
      </c>
      <c r="M26" s="103">
        <f t="shared" si="2"/>
        <v>1.7899761336515052E-3</v>
      </c>
      <c r="N26" s="103">
        <f t="shared" si="2"/>
        <v>2.6927296299990022E-3</v>
      </c>
      <c r="O26" s="103">
        <f t="shared" si="2"/>
        <v>1.9784350578677667E-4</v>
      </c>
      <c r="P26" s="104">
        <f t="shared" si="2"/>
        <v>9.9453008453509462E-4</v>
      </c>
      <c r="Q26" s="103">
        <f t="shared" si="2"/>
        <v>6.9790628115651288E-4</v>
      </c>
      <c r="R26" s="103">
        <f t="shared" si="2"/>
        <v>6.9721115537846323E-4</v>
      </c>
      <c r="S26" s="103">
        <f t="shared" si="2"/>
        <v>1.1972463334330996E-3</v>
      </c>
    </row>
    <row r="27" spans="2:19" ht="17.399999999999999" x14ac:dyDescent="0.4">
      <c r="B27" s="105">
        <f>(COUNTIF(E27:P27,"&gt;0"))-(COUNTIF(E27:P27,"&lt;0"))/12*100</f>
        <v>2.6666666666666679</v>
      </c>
      <c r="C27" s="102" t="str">
        <f t="shared" si="1"/>
        <v>2025-Feb</v>
      </c>
      <c r="E27" s="103">
        <f t="shared" si="2"/>
        <v>1.9960079840308786E-4</v>
      </c>
      <c r="F27" s="103">
        <f t="shared" si="2"/>
        <v>9.9206349206348854E-4</v>
      </c>
      <c r="G27" s="103">
        <f t="shared" si="2"/>
        <v>1.9019019019019812E-3</v>
      </c>
      <c r="H27" s="103">
        <f t="shared" si="2"/>
        <v>1.0983524712930848E-3</v>
      </c>
      <c r="I27" s="103">
        <f t="shared" si="2"/>
        <v>2.9934144881260671E-4</v>
      </c>
      <c r="J27" s="103">
        <f t="shared" si="2"/>
        <v>-3.0051086847637798E-4</v>
      </c>
      <c r="K27" s="124">
        <f t="shared" si="2"/>
        <v>1.1905943049905776E-3</v>
      </c>
      <c r="L27" s="103">
        <f t="shared" si="2"/>
        <v>3.0009002700803755E-4</v>
      </c>
      <c r="M27" s="103">
        <f t="shared" si="2"/>
        <v>1.4889815366290193E-3</v>
      </c>
      <c r="N27" s="103">
        <f t="shared" si="2"/>
        <v>1.7903322060870419E-3</v>
      </c>
      <c r="O27" s="103">
        <f t="shared" si="2"/>
        <v>7.9121748590638141E-4</v>
      </c>
      <c r="P27" s="104">
        <f t="shared" si="2"/>
        <v>2.9806259314457684E-4</v>
      </c>
      <c r="Q27" s="103">
        <f t="shared" si="2"/>
        <v>1.0959450034870866E-3</v>
      </c>
      <c r="R27" s="103">
        <f t="shared" si="2"/>
        <v>5.9719319199769139E-4</v>
      </c>
      <c r="S27" s="103">
        <f t="shared" si="2"/>
        <v>1.0961634280020061E-3</v>
      </c>
    </row>
    <row r="28" spans="2:19" ht="18" thickBot="1" x14ac:dyDescent="0.45">
      <c r="B28" s="105">
        <f>(COUNTIF(E28:P28,"&gt;0"))-(COUNTIF(E28:P28,"&lt;0"))/12*100</f>
        <v>0.66666666666666785</v>
      </c>
      <c r="C28" s="102" t="str">
        <f t="shared" si="1"/>
        <v>2025-Mar</v>
      </c>
      <c r="E28" s="103">
        <f t="shared" si="2"/>
        <v>2.9934144881260671E-4</v>
      </c>
      <c r="F28" s="103">
        <f t="shared" si="2"/>
        <v>6.9375619425171564E-4</v>
      </c>
      <c r="G28" s="103">
        <f t="shared" si="2"/>
        <v>1.6984713757617342E-3</v>
      </c>
      <c r="H28" s="103">
        <f t="shared" si="2"/>
        <v>1.4961101137043187E-3</v>
      </c>
      <c r="I28" s="103">
        <f t="shared" si="2"/>
        <v>9.9750623441474673E-5</v>
      </c>
      <c r="J28" s="103">
        <f t="shared" si="2"/>
        <v>-2.0040080160321772E-4</v>
      </c>
      <c r="K28" s="125">
        <f t="shared" si="2"/>
        <v>1.2882766821922242E-3</v>
      </c>
      <c r="L28" s="103">
        <f t="shared" si="2"/>
        <v>0</v>
      </c>
      <c r="M28" s="103">
        <f t="shared" si="2"/>
        <v>1.0902963623748985E-3</v>
      </c>
      <c r="N28" s="103">
        <f t="shared" si="2"/>
        <v>1.0921366163620938E-3</v>
      </c>
      <c r="O28" s="103">
        <f t="shared" si="2"/>
        <v>9.8823994465857545E-4</v>
      </c>
      <c r="P28" s="104">
        <f t="shared" si="2"/>
        <v>0</v>
      </c>
      <c r="Q28" s="103">
        <f t="shared" si="2"/>
        <v>1.1942675159235527E-3</v>
      </c>
      <c r="R28" s="103">
        <f t="shared" si="2"/>
        <v>2.9841838257227415E-4</v>
      </c>
      <c r="S28" s="103">
        <f t="shared" si="2"/>
        <v>9.954210631097915E-4</v>
      </c>
    </row>
    <row r="38" spans="3:27" ht="16.5" customHeight="1" x14ac:dyDescent="0.25">
      <c r="C38" s="111" t="s">
        <v>2999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3:27" ht="33.6" x14ac:dyDescent="0.25">
      <c r="C39" s="128" t="s">
        <v>3020</v>
      </c>
      <c r="D39"/>
      <c r="E39" s="191" t="s">
        <v>2929</v>
      </c>
      <c r="F39" s="191" t="s">
        <v>2930</v>
      </c>
      <c r="G39" s="191" t="s">
        <v>2931</v>
      </c>
      <c r="H39" s="191" t="s">
        <v>2932</v>
      </c>
      <c r="I39" s="191" t="s">
        <v>2933</v>
      </c>
      <c r="J39" s="191" t="s">
        <v>2934</v>
      </c>
      <c r="K39" s="191" t="s">
        <v>2935</v>
      </c>
      <c r="L39" s="191" t="s">
        <v>2936</v>
      </c>
      <c r="M39" s="191" t="s">
        <v>2937</v>
      </c>
      <c r="N39" s="191" t="s">
        <v>2938</v>
      </c>
      <c r="O39" s="191" t="s">
        <v>2939</v>
      </c>
      <c r="P39" s="191" t="s">
        <v>2940</v>
      </c>
      <c r="Q39" s="191" t="s">
        <v>2941</v>
      </c>
      <c r="R39" s="191" t="s">
        <v>2942</v>
      </c>
      <c r="S39" s="191" t="s">
        <v>2943</v>
      </c>
      <c r="T39" s="191" t="s">
        <v>2989</v>
      </c>
      <c r="U39" s="106" t="s">
        <v>2970</v>
      </c>
      <c r="V39" s="106" t="s">
        <v>2970</v>
      </c>
      <c r="W39" s="106" t="s">
        <v>2970</v>
      </c>
      <c r="X39" s="106" t="s">
        <v>2970</v>
      </c>
      <c r="Y39" s="106" t="s">
        <v>2970</v>
      </c>
      <c r="Z39" s="191" t="s">
        <v>2995</v>
      </c>
      <c r="AA39" s="191" t="s">
        <v>2996</v>
      </c>
    </row>
    <row r="40" spans="3:27" ht="55.2" x14ac:dyDescent="0.25">
      <c r="C40" s="129" t="s">
        <v>3021</v>
      </c>
      <c r="D40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07" t="s">
        <v>2990</v>
      </c>
      <c r="V40" s="107" t="s">
        <v>2991</v>
      </c>
      <c r="W40" s="107" t="s">
        <v>2992</v>
      </c>
      <c r="X40" s="107" t="s">
        <v>2993</v>
      </c>
      <c r="Y40" s="107" t="s">
        <v>2994</v>
      </c>
      <c r="Z40" s="192"/>
      <c r="AA40" s="192"/>
    </row>
    <row r="41" spans="3:27" ht="13.8" x14ac:dyDescent="0.25">
      <c r="C41" s="108" t="s">
        <v>2997</v>
      </c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</row>
    <row r="42" spans="3:27" ht="13.8" x14ac:dyDescent="0.25">
      <c r="C42" s="92" t="s">
        <v>2947</v>
      </c>
      <c r="D42" s="93"/>
      <c r="E42" s="95">
        <v>98.97</v>
      </c>
      <c r="F42" s="95">
        <v>98.34</v>
      </c>
      <c r="G42" s="95">
        <v>99.52</v>
      </c>
      <c r="H42" s="95">
        <v>99.53</v>
      </c>
      <c r="I42" s="95">
        <v>99.17</v>
      </c>
      <c r="J42" s="95">
        <v>99.93</v>
      </c>
      <c r="K42" s="95">
        <v>100.34</v>
      </c>
      <c r="L42" s="95">
        <v>101.31</v>
      </c>
      <c r="M42" s="95">
        <v>99.72</v>
      </c>
      <c r="N42" s="95">
        <v>98.42</v>
      </c>
      <c r="O42" s="95">
        <v>100.7</v>
      </c>
      <c r="P42" s="95">
        <v>99.68</v>
      </c>
      <c r="Q42" s="95">
        <v>99.78</v>
      </c>
      <c r="R42" s="95">
        <v>99.68</v>
      </c>
      <c r="S42" s="95">
        <v>99.91</v>
      </c>
      <c r="T42" s="110"/>
      <c r="U42" s="95">
        <v>101.38</v>
      </c>
      <c r="V42" s="95">
        <v>100.55</v>
      </c>
      <c r="W42" s="95">
        <v>99.79</v>
      </c>
      <c r="X42" s="95">
        <v>99.56</v>
      </c>
      <c r="Y42" s="95">
        <v>99.25</v>
      </c>
      <c r="Z42" s="95">
        <v>100.26</v>
      </c>
      <c r="AA42" s="95">
        <v>99.62</v>
      </c>
    </row>
    <row r="43" spans="3:27" ht="13.8" x14ac:dyDescent="0.25">
      <c r="C43" s="92" t="s">
        <v>2948</v>
      </c>
      <c r="D43" s="93"/>
      <c r="E43" s="95">
        <v>99.08</v>
      </c>
      <c r="F43" s="95">
        <v>98.55</v>
      </c>
      <c r="G43" s="95">
        <v>99.51</v>
      </c>
      <c r="H43" s="95">
        <v>99.7</v>
      </c>
      <c r="I43" s="95">
        <v>99.19</v>
      </c>
      <c r="J43" s="95">
        <v>99.98</v>
      </c>
      <c r="K43" s="95">
        <v>100.52</v>
      </c>
      <c r="L43" s="95">
        <v>101.42</v>
      </c>
      <c r="M43" s="95">
        <v>99.69</v>
      </c>
      <c r="N43" s="95">
        <v>98.37</v>
      </c>
      <c r="O43" s="95">
        <v>100.85</v>
      </c>
      <c r="P43" s="95">
        <v>99.8</v>
      </c>
      <c r="Q43" s="95">
        <v>99.87</v>
      </c>
      <c r="R43" s="95">
        <v>99.79</v>
      </c>
      <c r="S43" s="95">
        <v>99.95</v>
      </c>
      <c r="T43" s="110"/>
      <c r="U43" s="95">
        <v>101.58</v>
      </c>
      <c r="V43" s="95">
        <v>100.37</v>
      </c>
      <c r="W43" s="95">
        <v>99.87</v>
      </c>
      <c r="X43" s="95">
        <v>99.55</v>
      </c>
      <c r="Y43" s="95">
        <v>99.23</v>
      </c>
      <c r="Z43" s="95">
        <v>100.19</v>
      </c>
      <c r="AA43" s="95">
        <v>99.78</v>
      </c>
    </row>
    <row r="44" spans="3:27" ht="13.8" x14ac:dyDescent="0.25">
      <c r="C44" s="92" t="s">
        <v>2949</v>
      </c>
      <c r="D44" s="93"/>
      <c r="E44" s="95">
        <v>99.23</v>
      </c>
      <c r="F44" s="95">
        <v>98.75</v>
      </c>
      <c r="G44" s="95">
        <v>99.45</v>
      </c>
      <c r="H44" s="95">
        <v>99.87</v>
      </c>
      <c r="I44" s="95">
        <v>99.23</v>
      </c>
      <c r="J44" s="95">
        <v>100.03</v>
      </c>
      <c r="K44" s="95">
        <v>100.68</v>
      </c>
      <c r="L44" s="95">
        <v>101.43</v>
      </c>
      <c r="M44" s="95">
        <v>99.64</v>
      </c>
      <c r="N44" s="95">
        <v>98.37</v>
      </c>
      <c r="O44" s="95">
        <v>101.03</v>
      </c>
      <c r="P44" s="95">
        <v>99.87</v>
      </c>
      <c r="Q44" s="95">
        <v>99.97</v>
      </c>
      <c r="R44" s="95">
        <v>99.87</v>
      </c>
      <c r="S44" s="95">
        <v>99.97</v>
      </c>
      <c r="T44" s="110"/>
      <c r="U44" s="95">
        <v>101.71</v>
      </c>
      <c r="V44" s="95">
        <v>100.19</v>
      </c>
      <c r="W44" s="95">
        <v>99.96</v>
      </c>
      <c r="X44" s="95">
        <v>99.56</v>
      </c>
      <c r="Y44" s="95">
        <v>99.24</v>
      </c>
      <c r="Z44" s="95">
        <v>100.13</v>
      </c>
      <c r="AA44" s="95">
        <v>99.91</v>
      </c>
    </row>
    <row r="45" spans="3:27" ht="13.8" x14ac:dyDescent="0.25">
      <c r="C45" s="92" t="s">
        <v>2950</v>
      </c>
      <c r="D45" s="93"/>
      <c r="E45" s="95">
        <v>99.39</v>
      </c>
      <c r="F45" s="95">
        <v>98.95</v>
      </c>
      <c r="G45" s="95">
        <v>99.39</v>
      </c>
      <c r="H45" s="95">
        <v>100.02</v>
      </c>
      <c r="I45" s="95">
        <v>99.32</v>
      </c>
      <c r="J45" s="95">
        <v>100.08</v>
      </c>
      <c r="K45" s="95">
        <v>100.79</v>
      </c>
      <c r="L45" s="95">
        <v>101.34</v>
      </c>
      <c r="M45" s="95">
        <v>99.59</v>
      </c>
      <c r="N45" s="95">
        <v>98.44</v>
      </c>
      <c r="O45" s="95">
        <v>101.26</v>
      </c>
      <c r="P45" s="95">
        <v>99.88</v>
      </c>
      <c r="Q45" s="95">
        <v>100.07</v>
      </c>
      <c r="R45" s="95">
        <v>99.93</v>
      </c>
      <c r="S45" s="95">
        <v>100</v>
      </c>
      <c r="T45" s="110"/>
      <c r="U45" s="95">
        <v>101.81</v>
      </c>
      <c r="V45" s="95">
        <v>100.04</v>
      </c>
      <c r="W45" s="95">
        <v>100.05</v>
      </c>
      <c r="X45" s="95">
        <v>99.62</v>
      </c>
      <c r="Y45" s="95">
        <v>99.29</v>
      </c>
      <c r="Z45" s="95">
        <v>100.08</v>
      </c>
      <c r="AA45" s="95">
        <v>99.99</v>
      </c>
    </row>
    <row r="46" spans="3:27" ht="13.8" x14ac:dyDescent="0.25">
      <c r="C46" s="92" t="s">
        <v>2951</v>
      </c>
      <c r="D46" s="93"/>
      <c r="E46" s="95">
        <v>99.58</v>
      </c>
      <c r="F46" s="95">
        <v>99.16</v>
      </c>
      <c r="G46" s="95">
        <v>99.33</v>
      </c>
      <c r="H46" s="95">
        <v>100.12</v>
      </c>
      <c r="I46" s="95">
        <v>99.46</v>
      </c>
      <c r="J46" s="95">
        <v>100.1</v>
      </c>
      <c r="K46" s="95">
        <v>100.86</v>
      </c>
      <c r="L46" s="95">
        <v>101.17</v>
      </c>
      <c r="M46" s="95">
        <v>99.56</v>
      </c>
      <c r="N46" s="95">
        <v>98.55</v>
      </c>
      <c r="O46" s="95">
        <v>101.51</v>
      </c>
      <c r="P46" s="95">
        <v>99.88</v>
      </c>
      <c r="Q46" s="95">
        <v>100.18</v>
      </c>
      <c r="R46" s="95">
        <v>99.97</v>
      </c>
      <c r="S46" s="95">
        <v>100.03</v>
      </c>
      <c r="T46" s="110"/>
      <c r="U46" s="95">
        <v>101.9</v>
      </c>
      <c r="V46" s="95">
        <v>99.89</v>
      </c>
      <c r="W46" s="95">
        <v>100.14</v>
      </c>
      <c r="X46" s="95">
        <v>99.71</v>
      </c>
      <c r="Y46" s="95">
        <v>99.36</v>
      </c>
      <c r="Z46" s="95">
        <v>100.04</v>
      </c>
      <c r="AA46" s="95">
        <v>100.01</v>
      </c>
    </row>
    <row r="47" spans="3:27" ht="13.8" x14ac:dyDescent="0.25">
      <c r="C47" s="92" t="s">
        <v>2952</v>
      </c>
      <c r="D47" s="93"/>
      <c r="E47" s="95">
        <v>99.78</v>
      </c>
      <c r="F47" s="95">
        <v>99.38</v>
      </c>
      <c r="G47" s="95">
        <v>99.31</v>
      </c>
      <c r="H47" s="95">
        <v>100.18</v>
      </c>
      <c r="I47" s="95">
        <v>99.63</v>
      </c>
      <c r="J47" s="95">
        <v>100.11</v>
      </c>
      <c r="K47" s="95">
        <v>100.9</v>
      </c>
      <c r="L47" s="95">
        <v>100.93</v>
      </c>
      <c r="M47" s="95">
        <v>99.58</v>
      </c>
      <c r="N47" s="95">
        <v>98.68</v>
      </c>
      <c r="O47" s="95">
        <v>101.72</v>
      </c>
      <c r="P47" s="95">
        <v>99.91</v>
      </c>
      <c r="Q47" s="95">
        <v>100.28</v>
      </c>
      <c r="R47" s="95">
        <v>100.03</v>
      </c>
      <c r="S47" s="95">
        <v>100.07</v>
      </c>
      <c r="T47" s="110"/>
      <c r="U47" s="95">
        <v>102</v>
      </c>
      <c r="V47" s="95">
        <v>99.76</v>
      </c>
      <c r="W47" s="95">
        <v>100.22</v>
      </c>
      <c r="X47" s="95">
        <v>99.86</v>
      </c>
      <c r="Y47" s="95">
        <v>99.44</v>
      </c>
      <c r="Z47" s="95">
        <v>100</v>
      </c>
      <c r="AA47" s="95">
        <v>100.01</v>
      </c>
    </row>
    <row r="48" spans="3:27" ht="13.8" x14ac:dyDescent="0.25">
      <c r="C48" s="92" t="s">
        <v>2953</v>
      </c>
      <c r="D48" s="93"/>
      <c r="E48" s="95">
        <v>99.98</v>
      </c>
      <c r="F48" s="95">
        <v>99.63</v>
      </c>
      <c r="G48" s="95">
        <v>99.34</v>
      </c>
      <c r="H48" s="95">
        <v>100.22</v>
      </c>
      <c r="I48" s="95">
        <v>99.81</v>
      </c>
      <c r="J48" s="95">
        <v>100.09</v>
      </c>
      <c r="K48" s="95">
        <v>100.89</v>
      </c>
      <c r="L48" s="95">
        <v>100.67</v>
      </c>
      <c r="M48" s="95">
        <v>99.67</v>
      </c>
      <c r="N48" s="95">
        <v>98.86</v>
      </c>
      <c r="O48" s="95">
        <v>101.83</v>
      </c>
      <c r="P48" s="95">
        <v>99.98</v>
      </c>
      <c r="Q48" s="95">
        <v>100.36</v>
      </c>
      <c r="R48" s="95">
        <v>100.1</v>
      </c>
      <c r="S48" s="95">
        <v>100.13</v>
      </c>
      <c r="T48" s="110"/>
      <c r="U48" s="95">
        <v>102.12</v>
      </c>
      <c r="V48" s="95">
        <v>99.65</v>
      </c>
      <c r="W48" s="95">
        <v>100.31</v>
      </c>
      <c r="X48" s="95">
        <v>100.06</v>
      </c>
      <c r="Y48" s="95">
        <v>99.53</v>
      </c>
      <c r="Z48" s="95">
        <v>99.98</v>
      </c>
      <c r="AA48" s="95">
        <v>100.03</v>
      </c>
    </row>
    <row r="49" spans="3:27" ht="13.8" x14ac:dyDescent="0.25">
      <c r="C49" s="92" t="s">
        <v>2954</v>
      </c>
      <c r="D49" s="93"/>
      <c r="E49" s="95">
        <v>100.15</v>
      </c>
      <c r="F49" s="95">
        <v>99.89</v>
      </c>
      <c r="G49" s="95">
        <v>99.38</v>
      </c>
      <c r="H49" s="95">
        <v>100.26</v>
      </c>
      <c r="I49" s="95">
        <v>100</v>
      </c>
      <c r="J49" s="95">
        <v>100.08</v>
      </c>
      <c r="K49" s="95">
        <v>100.85</v>
      </c>
      <c r="L49" s="95">
        <v>100.42</v>
      </c>
      <c r="M49" s="95">
        <v>99.84</v>
      </c>
      <c r="N49" s="95">
        <v>99.12</v>
      </c>
      <c r="O49" s="95">
        <v>101.84</v>
      </c>
      <c r="P49" s="95">
        <v>100.09</v>
      </c>
      <c r="Q49" s="95">
        <v>100.42</v>
      </c>
      <c r="R49" s="95">
        <v>100.19</v>
      </c>
      <c r="S49" s="95">
        <v>100.21</v>
      </c>
      <c r="T49" s="110"/>
      <c r="U49" s="95">
        <v>102.22</v>
      </c>
      <c r="V49" s="95">
        <v>99.57</v>
      </c>
      <c r="W49" s="95">
        <v>100.39</v>
      </c>
      <c r="X49" s="95">
        <v>100.29</v>
      </c>
      <c r="Y49" s="95">
        <v>99.62</v>
      </c>
      <c r="Z49" s="95">
        <v>99.97</v>
      </c>
      <c r="AA49" s="95">
        <v>100.08</v>
      </c>
    </row>
    <row r="50" spans="3:27" ht="13.8" x14ac:dyDescent="0.25">
      <c r="C50" s="92" t="s">
        <v>2998</v>
      </c>
      <c r="D50" s="93"/>
      <c r="E50" s="95">
        <v>100.29</v>
      </c>
      <c r="F50" s="95">
        <v>100.17</v>
      </c>
      <c r="G50" s="95">
        <v>99.43</v>
      </c>
      <c r="H50" s="95">
        <v>100.31</v>
      </c>
      <c r="I50" s="95">
        <v>100.2</v>
      </c>
      <c r="J50" s="95">
        <v>100.07</v>
      </c>
      <c r="K50" s="95">
        <v>100.78</v>
      </c>
      <c r="L50" s="95">
        <v>100.22</v>
      </c>
      <c r="M50" s="95">
        <v>100.03</v>
      </c>
      <c r="N50" s="95">
        <v>99.44</v>
      </c>
      <c r="O50" s="95">
        <v>101.81</v>
      </c>
      <c r="P50" s="95">
        <v>100.23</v>
      </c>
      <c r="Q50" s="95">
        <v>100.48</v>
      </c>
      <c r="R50" s="95">
        <v>100.29</v>
      </c>
      <c r="S50" s="95">
        <v>100.3</v>
      </c>
      <c r="T50" s="110"/>
      <c r="U50" s="95">
        <v>102.27</v>
      </c>
      <c r="V50" s="95">
        <v>99.53</v>
      </c>
      <c r="W50" s="95">
        <v>100.46</v>
      </c>
      <c r="X50" s="95">
        <v>100.52</v>
      </c>
      <c r="Y50" s="95">
        <v>99.71</v>
      </c>
      <c r="Z50" s="95">
        <v>99.98</v>
      </c>
      <c r="AA50" s="95">
        <v>100.16</v>
      </c>
    </row>
    <row r="51" spans="3:27" ht="13.8" x14ac:dyDescent="0.25">
      <c r="C51" s="92" t="s">
        <v>3001</v>
      </c>
      <c r="D51" s="93"/>
      <c r="E51" s="95">
        <v>100.41</v>
      </c>
      <c r="F51" s="95">
        <v>100.46</v>
      </c>
      <c r="G51" s="95">
        <v>99.48</v>
      </c>
      <c r="H51" s="95">
        <v>100.37</v>
      </c>
      <c r="I51" s="95">
        <v>100.4</v>
      </c>
      <c r="J51" s="95">
        <v>100.06</v>
      </c>
      <c r="K51" s="95">
        <v>100.69</v>
      </c>
      <c r="L51" s="95">
        <v>100.09</v>
      </c>
      <c r="M51" s="95">
        <v>100.24</v>
      </c>
      <c r="N51" s="95">
        <v>99.77</v>
      </c>
      <c r="O51" s="95">
        <v>101.77</v>
      </c>
      <c r="P51" s="95">
        <v>100.39</v>
      </c>
      <c r="Q51" s="95">
        <v>100.54</v>
      </c>
      <c r="R51" s="95">
        <v>100.4</v>
      </c>
      <c r="S51" s="95">
        <v>100.41</v>
      </c>
      <c r="T51" s="110"/>
      <c r="U51" s="95">
        <v>102.28</v>
      </c>
      <c r="V51" s="95">
        <v>99.53</v>
      </c>
      <c r="W51" s="95">
        <v>100.53</v>
      </c>
      <c r="X51" s="95">
        <v>100.73</v>
      </c>
      <c r="Y51" s="95">
        <v>99.81</v>
      </c>
      <c r="Z51" s="95">
        <v>100.01</v>
      </c>
      <c r="AA51" s="95">
        <v>100.27</v>
      </c>
    </row>
    <row r="59" spans="3:27" ht="17.399999999999999" x14ac:dyDescent="0.25">
      <c r="C59" s="111" t="s">
        <v>3000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3:27" ht="13.8" x14ac:dyDescent="0.25">
      <c r="C60" s="193" t="s">
        <v>2988</v>
      </c>
      <c r="D60" s="194"/>
      <c r="E60" s="191" t="s">
        <v>2929</v>
      </c>
      <c r="F60" s="191" t="s">
        <v>2930</v>
      </c>
      <c r="G60" s="191" t="s">
        <v>2931</v>
      </c>
      <c r="H60" s="191" t="s">
        <v>2932</v>
      </c>
      <c r="I60" s="191" t="s">
        <v>2933</v>
      </c>
      <c r="J60" s="191" t="s">
        <v>2934</v>
      </c>
      <c r="K60" s="191" t="s">
        <v>2935</v>
      </c>
      <c r="L60" s="191" t="s">
        <v>2936</v>
      </c>
      <c r="M60" s="191" t="s">
        <v>2937</v>
      </c>
      <c r="N60" s="191" t="s">
        <v>2938</v>
      </c>
      <c r="O60" s="191" t="s">
        <v>2939</v>
      </c>
      <c r="P60" s="191" t="s">
        <v>2940</v>
      </c>
      <c r="Q60" s="191" t="s">
        <v>2941</v>
      </c>
      <c r="R60" s="191" t="s">
        <v>2942</v>
      </c>
      <c r="S60" s="191" t="s">
        <v>2943</v>
      </c>
      <c r="T60" s="191" t="s">
        <v>2989</v>
      </c>
      <c r="U60" s="106" t="s">
        <v>2970</v>
      </c>
      <c r="V60" s="106" t="s">
        <v>2970</v>
      </c>
      <c r="W60" s="106" t="s">
        <v>2970</v>
      </c>
      <c r="X60" s="106" t="s">
        <v>2970</v>
      </c>
      <c r="Y60" s="106" t="s">
        <v>2970</v>
      </c>
      <c r="Z60" s="191" t="s">
        <v>2995</v>
      </c>
      <c r="AA60" s="191" t="s">
        <v>2996</v>
      </c>
    </row>
    <row r="61" spans="3:27" ht="55.2" x14ac:dyDescent="0.25">
      <c r="C61" s="195"/>
      <c r="D61" s="196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07" t="s">
        <v>2990</v>
      </c>
      <c r="V61" s="107" t="s">
        <v>2991</v>
      </c>
      <c r="W61" s="107" t="s">
        <v>2992</v>
      </c>
      <c r="X61" s="107" t="s">
        <v>2993</v>
      </c>
      <c r="Y61" s="107" t="s">
        <v>2994</v>
      </c>
      <c r="Z61" s="192"/>
      <c r="AA61" s="192"/>
    </row>
    <row r="62" spans="3:27" ht="13.8" x14ac:dyDescent="0.25">
      <c r="C62" s="108" t="s">
        <v>2997</v>
      </c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</row>
    <row r="63" spans="3:27" ht="13.8" x14ac:dyDescent="0.25">
      <c r="C63" s="92" t="s">
        <v>2947</v>
      </c>
      <c r="D63" s="93"/>
      <c r="E63" s="95">
        <v>98.97</v>
      </c>
      <c r="F63" s="95">
        <v>98.34</v>
      </c>
      <c r="G63" s="95">
        <v>99.52</v>
      </c>
      <c r="H63" s="95">
        <v>99.53</v>
      </c>
      <c r="I63" s="95">
        <v>99.17</v>
      </c>
      <c r="J63" s="95">
        <v>99.93</v>
      </c>
      <c r="K63" s="95">
        <v>100.34</v>
      </c>
      <c r="L63" s="95">
        <v>101.31</v>
      </c>
      <c r="M63" s="95">
        <v>99.72</v>
      </c>
      <c r="N63" s="95">
        <v>98.42</v>
      </c>
      <c r="O63" s="95">
        <v>100.7</v>
      </c>
      <c r="P63" s="95">
        <v>99.68</v>
      </c>
      <c r="Q63" s="95">
        <v>99.78</v>
      </c>
      <c r="R63" s="95">
        <v>99.68</v>
      </c>
      <c r="S63" s="95">
        <v>99.91</v>
      </c>
      <c r="T63" s="110"/>
      <c r="U63" s="95">
        <v>101.6</v>
      </c>
      <c r="V63" s="95">
        <v>100.09</v>
      </c>
      <c r="W63" s="95">
        <v>99.85</v>
      </c>
      <c r="X63" s="95">
        <v>99.55</v>
      </c>
      <c r="Y63" s="95">
        <v>99.17</v>
      </c>
      <c r="Z63" s="95">
        <v>100.03</v>
      </c>
      <c r="AA63" s="95">
        <v>99.75</v>
      </c>
    </row>
    <row r="64" spans="3:27" ht="13.8" x14ac:dyDescent="0.25">
      <c r="C64" s="92" t="s">
        <v>2948</v>
      </c>
      <c r="D64" s="93"/>
      <c r="E64" s="95">
        <v>99.08</v>
      </c>
      <c r="F64" s="95">
        <v>98.55</v>
      </c>
      <c r="G64" s="95">
        <v>99.51</v>
      </c>
      <c r="H64" s="95">
        <v>99.7</v>
      </c>
      <c r="I64" s="95">
        <v>99.19</v>
      </c>
      <c r="J64" s="95">
        <v>99.98</v>
      </c>
      <c r="K64" s="95">
        <v>100.52</v>
      </c>
      <c r="L64" s="95">
        <v>101.42</v>
      </c>
      <c r="M64" s="95">
        <v>99.69</v>
      </c>
      <c r="N64" s="95">
        <v>98.37</v>
      </c>
      <c r="O64" s="95">
        <v>100.85</v>
      </c>
      <c r="P64" s="95">
        <v>99.8</v>
      </c>
      <c r="Q64" s="95">
        <v>99.87</v>
      </c>
      <c r="R64" s="95">
        <v>99.79</v>
      </c>
      <c r="S64" s="95">
        <v>99.95</v>
      </c>
      <c r="T64" s="110"/>
      <c r="U64" s="95">
        <v>101.74</v>
      </c>
      <c r="V64" s="95">
        <v>99.95</v>
      </c>
      <c r="W64" s="95">
        <v>99.93</v>
      </c>
      <c r="X64" s="95">
        <v>99.57</v>
      </c>
      <c r="Y64" s="95">
        <v>99.19</v>
      </c>
      <c r="Z64" s="95">
        <v>99.99</v>
      </c>
      <c r="AA64" s="95">
        <v>99.88</v>
      </c>
    </row>
    <row r="65" spans="3:27" ht="13.8" x14ac:dyDescent="0.25">
      <c r="C65" s="92" t="s">
        <v>2949</v>
      </c>
      <c r="D65" s="93"/>
      <c r="E65" s="95">
        <v>99.23</v>
      </c>
      <c r="F65" s="95">
        <v>98.75</v>
      </c>
      <c r="G65" s="95">
        <v>99.45</v>
      </c>
      <c r="H65" s="95">
        <v>99.87</v>
      </c>
      <c r="I65" s="95">
        <v>99.23</v>
      </c>
      <c r="J65" s="95">
        <v>100.03</v>
      </c>
      <c r="K65" s="95">
        <v>100.68</v>
      </c>
      <c r="L65" s="95">
        <v>101.43</v>
      </c>
      <c r="M65" s="95">
        <v>99.64</v>
      </c>
      <c r="N65" s="95">
        <v>98.37</v>
      </c>
      <c r="O65" s="95">
        <v>101.03</v>
      </c>
      <c r="P65" s="95">
        <v>99.87</v>
      </c>
      <c r="Q65" s="95">
        <v>99.97</v>
      </c>
      <c r="R65" s="95">
        <v>99.87</v>
      </c>
      <c r="S65" s="95">
        <v>99.97</v>
      </c>
      <c r="T65" s="110"/>
      <c r="U65" s="95">
        <v>101.85</v>
      </c>
      <c r="V65" s="95">
        <v>99.84</v>
      </c>
      <c r="W65" s="95">
        <v>100.02</v>
      </c>
      <c r="X65" s="95">
        <v>99.64</v>
      </c>
      <c r="Y65" s="95">
        <v>99.24</v>
      </c>
      <c r="Z65" s="95">
        <v>99.97</v>
      </c>
      <c r="AA65" s="95">
        <v>99.95</v>
      </c>
    </row>
    <row r="66" spans="3:27" ht="13.8" x14ac:dyDescent="0.25">
      <c r="C66" s="92" t="s">
        <v>2950</v>
      </c>
      <c r="D66" s="93"/>
      <c r="E66" s="95">
        <v>99.39</v>
      </c>
      <c r="F66" s="95">
        <v>98.95</v>
      </c>
      <c r="G66" s="95">
        <v>99.39</v>
      </c>
      <c r="H66" s="95">
        <v>100.02</v>
      </c>
      <c r="I66" s="95">
        <v>99.32</v>
      </c>
      <c r="J66" s="95">
        <v>100.08</v>
      </c>
      <c r="K66" s="95">
        <v>100.79</v>
      </c>
      <c r="L66" s="95">
        <v>101.34</v>
      </c>
      <c r="M66" s="95">
        <v>99.59</v>
      </c>
      <c r="N66" s="95">
        <v>98.44</v>
      </c>
      <c r="O66" s="95">
        <v>101.26</v>
      </c>
      <c r="P66" s="95">
        <v>99.88</v>
      </c>
      <c r="Q66" s="95">
        <v>100.07</v>
      </c>
      <c r="R66" s="95">
        <v>99.93</v>
      </c>
      <c r="S66" s="95">
        <v>100</v>
      </c>
      <c r="T66" s="110"/>
      <c r="U66" s="95">
        <v>101.95</v>
      </c>
      <c r="V66" s="95">
        <v>99.76</v>
      </c>
      <c r="W66" s="95">
        <v>100.11</v>
      </c>
      <c r="X66" s="95">
        <v>99.75</v>
      </c>
      <c r="Y66" s="95">
        <v>99.33</v>
      </c>
      <c r="Z66" s="95">
        <v>99.96</v>
      </c>
      <c r="AA66" s="95">
        <v>99.97</v>
      </c>
    </row>
    <row r="67" spans="3:27" ht="13.8" x14ac:dyDescent="0.25">
      <c r="C67" s="92" t="s">
        <v>2951</v>
      </c>
      <c r="D67" s="93"/>
      <c r="E67" s="95">
        <v>99.58</v>
      </c>
      <c r="F67" s="95">
        <v>99.16</v>
      </c>
      <c r="G67" s="95">
        <v>99.33</v>
      </c>
      <c r="H67" s="95">
        <v>100.12</v>
      </c>
      <c r="I67" s="95">
        <v>99.46</v>
      </c>
      <c r="J67" s="95">
        <v>100.1</v>
      </c>
      <c r="K67" s="95">
        <v>100.86</v>
      </c>
      <c r="L67" s="95">
        <v>101.17</v>
      </c>
      <c r="M67" s="95">
        <v>99.56</v>
      </c>
      <c r="N67" s="95">
        <v>98.55</v>
      </c>
      <c r="O67" s="95">
        <v>101.51</v>
      </c>
      <c r="P67" s="95">
        <v>99.88</v>
      </c>
      <c r="Q67" s="95">
        <v>100.18</v>
      </c>
      <c r="R67" s="95">
        <v>99.97</v>
      </c>
      <c r="S67" s="95">
        <v>100.03</v>
      </c>
      <c r="T67" s="110"/>
      <c r="U67" s="95">
        <v>102.06</v>
      </c>
      <c r="V67" s="95">
        <v>99.7</v>
      </c>
      <c r="W67" s="95">
        <v>100.19</v>
      </c>
      <c r="X67" s="95">
        <v>99.92</v>
      </c>
      <c r="Y67" s="95">
        <v>99.44</v>
      </c>
      <c r="Z67" s="95">
        <v>99.97</v>
      </c>
      <c r="AA67" s="95">
        <v>99.96</v>
      </c>
    </row>
    <row r="68" spans="3:27" ht="13.8" x14ac:dyDescent="0.25">
      <c r="C68" s="92" t="s">
        <v>2952</v>
      </c>
      <c r="D68" s="93"/>
      <c r="E68" s="95">
        <v>99.78</v>
      </c>
      <c r="F68" s="95">
        <v>99.38</v>
      </c>
      <c r="G68" s="95">
        <v>99.31</v>
      </c>
      <c r="H68" s="95">
        <v>100.18</v>
      </c>
      <c r="I68" s="95">
        <v>99.63</v>
      </c>
      <c r="J68" s="95">
        <v>100.11</v>
      </c>
      <c r="K68" s="95">
        <v>100.9</v>
      </c>
      <c r="L68" s="95">
        <v>100.93</v>
      </c>
      <c r="M68" s="95">
        <v>99.58</v>
      </c>
      <c r="N68" s="95">
        <v>98.68</v>
      </c>
      <c r="O68" s="95">
        <v>101.72</v>
      </c>
      <c r="P68" s="95">
        <v>99.91</v>
      </c>
      <c r="Q68" s="95">
        <v>100.28</v>
      </c>
      <c r="R68" s="95">
        <v>100.03</v>
      </c>
      <c r="S68" s="95">
        <v>100.07</v>
      </c>
      <c r="T68" s="110"/>
      <c r="U68" s="95">
        <v>102.17</v>
      </c>
      <c r="V68" s="95">
        <v>99.68</v>
      </c>
      <c r="W68" s="95">
        <v>100.26</v>
      </c>
      <c r="X68" s="95">
        <v>100.13</v>
      </c>
      <c r="Y68" s="95">
        <v>99.56</v>
      </c>
      <c r="Z68" s="95">
        <v>99.99</v>
      </c>
      <c r="AA68" s="95">
        <v>99.98</v>
      </c>
    </row>
    <row r="69" spans="3:27" ht="13.8" x14ac:dyDescent="0.25">
      <c r="C69" s="92" t="s">
        <v>2953</v>
      </c>
      <c r="D69" s="93"/>
      <c r="E69" s="95">
        <v>99.98</v>
      </c>
      <c r="F69" s="95">
        <v>99.63</v>
      </c>
      <c r="G69" s="95">
        <v>99.34</v>
      </c>
      <c r="H69" s="95">
        <v>100.22</v>
      </c>
      <c r="I69" s="95">
        <v>99.81</v>
      </c>
      <c r="J69" s="95">
        <v>100.09</v>
      </c>
      <c r="K69" s="95">
        <v>100.89</v>
      </c>
      <c r="L69" s="95">
        <v>100.67</v>
      </c>
      <c r="M69" s="95">
        <v>99.67</v>
      </c>
      <c r="N69" s="95">
        <v>98.86</v>
      </c>
      <c r="O69" s="95">
        <v>101.83</v>
      </c>
      <c r="P69" s="95">
        <v>99.98</v>
      </c>
      <c r="Q69" s="95">
        <v>100.36</v>
      </c>
      <c r="R69" s="95">
        <v>100.1</v>
      </c>
      <c r="S69" s="95">
        <v>100.13</v>
      </c>
      <c r="T69" s="110"/>
      <c r="U69" s="95">
        <v>102.25</v>
      </c>
      <c r="V69" s="95">
        <v>99.71</v>
      </c>
      <c r="W69" s="95">
        <v>100.33</v>
      </c>
      <c r="X69" s="95">
        <v>100.36</v>
      </c>
      <c r="Y69" s="95">
        <v>99.69</v>
      </c>
      <c r="Z69" s="95">
        <v>100.04</v>
      </c>
      <c r="AA69" s="95">
        <v>100.03</v>
      </c>
    </row>
    <row r="70" spans="3:27" ht="13.8" x14ac:dyDescent="0.25">
      <c r="C70" s="92" t="s">
        <v>2954</v>
      </c>
      <c r="D70" s="93"/>
      <c r="E70" s="95">
        <v>100.15</v>
      </c>
      <c r="F70" s="95">
        <v>99.89</v>
      </c>
      <c r="G70" s="95">
        <v>99.38</v>
      </c>
      <c r="H70" s="95">
        <v>100.26</v>
      </c>
      <c r="I70" s="95">
        <v>100</v>
      </c>
      <c r="J70" s="95">
        <v>100.08</v>
      </c>
      <c r="K70" s="95">
        <v>100.85</v>
      </c>
      <c r="L70" s="95">
        <v>100.42</v>
      </c>
      <c r="M70" s="95">
        <v>99.84</v>
      </c>
      <c r="N70" s="95">
        <v>99.12</v>
      </c>
      <c r="O70" s="95">
        <v>101.84</v>
      </c>
      <c r="P70" s="95">
        <v>100.09</v>
      </c>
      <c r="Q70" s="95">
        <v>100.42</v>
      </c>
      <c r="R70" s="95">
        <v>100.19</v>
      </c>
      <c r="S70" s="95">
        <v>100.21</v>
      </c>
      <c r="T70" s="110"/>
      <c r="U70" s="95">
        <v>102.25</v>
      </c>
      <c r="V70" s="95">
        <v>99.8</v>
      </c>
      <c r="W70" s="95">
        <v>100.39</v>
      </c>
      <c r="X70" s="95">
        <v>100.55</v>
      </c>
      <c r="Y70" s="95">
        <v>99.83</v>
      </c>
      <c r="Z70" s="95">
        <v>100.11</v>
      </c>
      <c r="AA70" s="95">
        <v>100.11</v>
      </c>
    </row>
    <row r="71" spans="3:27" ht="13.8" x14ac:dyDescent="0.25">
      <c r="C71" s="92" t="s">
        <v>2998</v>
      </c>
      <c r="D71" s="93"/>
      <c r="E71" s="95">
        <v>100.29</v>
      </c>
      <c r="F71" s="95">
        <v>100.17</v>
      </c>
      <c r="G71" s="95">
        <v>99.43</v>
      </c>
      <c r="H71" s="95">
        <v>100.31</v>
      </c>
      <c r="I71" s="95">
        <v>100.2</v>
      </c>
      <c r="J71" s="95">
        <v>100.07</v>
      </c>
      <c r="K71" s="95">
        <v>100.78</v>
      </c>
      <c r="L71" s="95">
        <v>100.22</v>
      </c>
      <c r="M71" s="95">
        <v>100.03</v>
      </c>
      <c r="N71" s="95">
        <v>99.44</v>
      </c>
      <c r="O71" s="95">
        <v>101.81</v>
      </c>
      <c r="P71" s="95">
        <v>100.23</v>
      </c>
      <c r="Q71" s="95">
        <v>100.48</v>
      </c>
      <c r="R71" s="95">
        <v>100.29</v>
      </c>
      <c r="S71" s="95">
        <v>100.3</v>
      </c>
      <c r="T71" s="110"/>
      <c r="U71" s="95">
        <v>102.16</v>
      </c>
      <c r="V71" s="95">
        <v>99.93</v>
      </c>
      <c r="W71" s="95">
        <v>100.45</v>
      </c>
      <c r="X71" s="95">
        <v>100.66</v>
      </c>
      <c r="Y71" s="95">
        <v>99.98</v>
      </c>
      <c r="Z71" s="95">
        <v>100.2</v>
      </c>
      <c r="AA71" s="95">
        <v>100.23</v>
      </c>
    </row>
    <row r="72" spans="3:27" ht="13.8" x14ac:dyDescent="0.25">
      <c r="C72" s="92" t="s">
        <v>3001</v>
      </c>
      <c r="D72" s="93"/>
      <c r="E72" s="95">
        <v>100.41</v>
      </c>
      <c r="F72" s="95">
        <v>100.46</v>
      </c>
      <c r="G72" s="95">
        <v>99.48</v>
      </c>
      <c r="H72" s="95">
        <v>100.37</v>
      </c>
      <c r="I72" s="95">
        <v>100.4</v>
      </c>
      <c r="J72" s="95">
        <v>100.06</v>
      </c>
      <c r="K72" s="95">
        <v>100.69</v>
      </c>
      <c r="L72" s="95">
        <v>100.09</v>
      </c>
      <c r="M72" s="95">
        <v>100.24</v>
      </c>
      <c r="N72" s="95">
        <v>99.77</v>
      </c>
      <c r="O72" s="95">
        <v>101.77</v>
      </c>
      <c r="P72" s="95">
        <v>100.39</v>
      </c>
      <c r="Q72" s="95">
        <v>100.54</v>
      </c>
      <c r="R72" s="95">
        <v>100.4</v>
      </c>
      <c r="S72" s="95">
        <v>100.41</v>
      </c>
      <c r="T72" s="110"/>
      <c r="U72" s="95">
        <v>102.01</v>
      </c>
      <c r="V72" s="95">
        <v>100.09</v>
      </c>
      <c r="W72" s="95">
        <v>100.51</v>
      </c>
      <c r="X72" s="95">
        <v>100.72</v>
      </c>
      <c r="Y72" s="95">
        <v>100.13</v>
      </c>
      <c r="Z72" s="95">
        <v>100.3</v>
      </c>
      <c r="AA72" s="95">
        <v>100.37</v>
      </c>
    </row>
    <row r="80" spans="3:27" ht="17.399999999999999" x14ac:dyDescent="0.25">
      <c r="C80" s="111" t="s">
        <v>3003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3:27" ht="13.8" x14ac:dyDescent="0.25">
      <c r="C81" s="193" t="s">
        <v>2988</v>
      </c>
      <c r="D81" s="194"/>
      <c r="E81" s="191" t="s">
        <v>2929</v>
      </c>
      <c r="F81" s="191" t="s">
        <v>2930</v>
      </c>
      <c r="G81" s="191" t="s">
        <v>2931</v>
      </c>
      <c r="H81" s="191" t="s">
        <v>2932</v>
      </c>
      <c r="I81" s="191" t="s">
        <v>2933</v>
      </c>
      <c r="J81" s="191" t="s">
        <v>2934</v>
      </c>
      <c r="K81" s="191" t="s">
        <v>2935</v>
      </c>
      <c r="L81" s="191" t="s">
        <v>2936</v>
      </c>
      <c r="M81" s="191" t="s">
        <v>2937</v>
      </c>
      <c r="N81" s="191" t="s">
        <v>2938</v>
      </c>
      <c r="O81" s="191" t="s">
        <v>2939</v>
      </c>
      <c r="P81" s="191" t="s">
        <v>2940</v>
      </c>
      <c r="Q81" s="191" t="s">
        <v>2941</v>
      </c>
      <c r="R81" s="191" t="s">
        <v>2942</v>
      </c>
      <c r="S81" s="191" t="s">
        <v>2943</v>
      </c>
      <c r="T81" s="191" t="s">
        <v>2989</v>
      </c>
      <c r="U81" s="106" t="s">
        <v>2970</v>
      </c>
      <c r="V81" s="106" t="s">
        <v>2970</v>
      </c>
      <c r="W81" s="106" t="s">
        <v>2970</v>
      </c>
      <c r="X81" s="106" t="s">
        <v>2970</v>
      </c>
      <c r="Y81" s="106" t="s">
        <v>2970</v>
      </c>
      <c r="Z81" s="191" t="s">
        <v>2995</v>
      </c>
      <c r="AA81" s="191" t="s">
        <v>2996</v>
      </c>
    </row>
    <row r="82" spans="3:27" ht="55.2" x14ac:dyDescent="0.25">
      <c r="C82" s="195"/>
      <c r="D82" s="196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07" t="s">
        <v>2990</v>
      </c>
      <c r="V82" s="107" t="s">
        <v>2991</v>
      </c>
      <c r="W82" s="107" t="s">
        <v>2992</v>
      </c>
      <c r="X82" s="107" t="s">
        <v>2993</v>
      </c>
      <c r="Y82" s="107" t="s">
        <v>2994</v>
      </c>
      <c r="Z82" s="192"/>
      <c r="AA82" s="192"/>
    </row>
    <row r="83" spans="3:27" ht="13.8" x14ac:dyDescent="0.25">
      <c r="C83" s="108" t="s">
        <v>2997</v>
      </c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</row>
    <row r="84" spans="3:27" ht="13.8" x14ac:dyDescent="0.25">
      <c r="C84" s="92" t="s">
        <v>2948</v>
      </c>
      <c r="D84" s="93"/>
      <c r="E84" s="95">
        <v>99.14</v>
      </c>
      <c r="F84" s="95">
        <v>98.48</v>
      </c>
      <c r="G84" s="95">
        <v>99.48</v>
      </c>
      <c r="H84" s="95">
        <v>99.78</v>
      </c>
      <c r="I84" s="95">
        <v>99.16</v>
      </c>
      <c r="J84" s="95">
        <v>100</v>
      </c>
      <c r="K84" s="95">
        <v>100.51</v>
      </c>
      <c r="L84" s="95">
        <v>101.45</v>
      </c>
      <c r="M84" s="95">
        <v>99.58</v>
      </c>
      <c r="N84" s="95">
        <v>98.22</v>
      </c>
      <c r="O84" s="95">
        <v>100.76</v>
      </c>
      <c r="P84" s="95">
        <v>99.74</v>
      </c>
      <c r="Q84" s="95">
        <v>99.86</v>
      </c>
      <c r="R84" s="95">
        <v>99.76</v>
      </c>
      <c r="S84" s="95">
        <v>99.93</v>
      </c>
      <c r="T84" s="110"/>
      <c r="U84" s="95">
        <v>101.83</v>
      </c>
      <c r="V84" s="95">
        <v>99.95</v>
      </c>
      <c r="W84" s="95">
        <v>99.95</v>
      </c>
      <c r="X84" s="95">
        <v>99.52</v>
      </c>
      <c r="Y84" s="95">
        <v>99.06</v>
      </c>
      <c r="Z84" s="95">
        <v>99.99</v>
      </c>
      <c r="AA84" s="95">
        <v>99.82</v>
      </c>
    </row>
    <row r="85" spans="3:27" ht="13.8" x14ac:dyDescent="0.25">
      <c r="C85" s="92" t="s">
        <v>2949</v>
      </c>
      <c r="D85" s="93"/>
      <c r="E85" s="95">
        <v>99.29</v>
      </c>
      <c r="F85" s="95">
        <v>98.69</v>
      </c>
      <c r="G85" s="95">
        <v>99.42</v>
      </c>
      <c r="H85" s="95">
        <v>99.95</v>
      </c>
      <c r="I85" s="95">
        <v>99.2</v>
      </c>
      <c r="J85" s="95">
        <v>100.06</v>
      </c>
      <c r="K85" s="95">
        <v>100.66</v>
      </c>
      <c r="L85" s="95">
        <v>101.46</v>
      </c>
      <c r="M85" s="95">
        <v>99.54</v>
      </c>
      <c r="N85" s="95">
        <v>98.22</v>
      </c>
      <c r="O85" s="95">
        <v>100.93</v>
      </c>
      <c r="P85" s="95">
        <v>99.8</v>
      </c>
      <c r="Q85" s="95">
        <v>99.96</v>
      </c>
      <c r="R85" s="95">
        <v>99.84</v>
      </c>
      <c r="S85" s="95">
        <v>99.94</v>
      </c>
      <c r="T85" s="110"/>
      <c r="U85" s="95">
        <v>101.94</v>
      </c>
      <c r="V85" s="95">
        <v>99.78</v>
      </c>
      <c r="W85" s="95">
        <v>100.03</v>
      </c>
      <c r="X85" s="95">
        <v>99.59</v>
      </c>
      <c r="Y85" s="95">
        <v>99.11</v>
      </c>
      <c r="Z85" s="95">
        <v>99.94</v>
      </c>
      <c r="AA85" s="95">
        <v>99.89</v>
      </c>
    </row>
    <row r="86" spans="3:27" ht="13.8" x14ac:dyDescent="0.25">
      <c r="C86" s="92" t="s">
        <v>2950</v>
      </c>
      <c r="D86" s="93"/>
      <c r="E86" s="95">
        <v>99.45</v>
      </c>
      <c r="F86" s="95">
        <v>98.9</v>
      </c>
      <c r="G86" s="95">
        <v>99.36</v>
      </c>
      <c r="H86" s="95">
        <v>100.1</v>
      </c>
      <c r="I86" s="95">
        <v>99.29</v>
      </c>
      <c r="J86" s="95">
        <v>100.1</v>
      </c>
      <c r="K86" s="95">
        <v>100.78</v>
      </c>
      <c r="L86" s="95">
        <v>101.38</v>
      </c>
      <c r="M86" s="95">
        <v>99.5</v>
      </c>
      <c r="N86" s="95">
        <v>98.28</v>
      </c>
      <c r="O86" s="95">
        <v>101.16</v>
      </c>
      <c r="P86" s="95">
        <v>99.82</v>
      </c>
      <c r="Q86" s="95">
        <v>100.06</v>
      </c>
      <c r="R86" s="95">
        <v>99.89</v>
      </c>
      <c r="S86" s="95">
        <v>99.95</v>
      </c>
      <c r="T86" s="110"/>
      <c r="U86" s="95">
        <v>102.04</v>
      </c>
      <c r="V86" s="95">
        <v>99.65</v>
      </c>
      <c r="W86" s="95">
        <v>100.1</v>
      </c>
      <c r="X86" s="95">
        <v>99.69</v>
      </c>
      <c r="Y86" s="95">
        <v>99.19</v>
      </c>
      <c r="Z86" s="95">
        <v>99.9</v>
      </c>
      <c r="AA86" s="95">
        <v>99.91</v>
      </c>
    </row>
    <row r="87" spans="3:27" ht="13.8" x14ac:dyDescent="0.25">
      <c r="C87" s="92" t="s">
        <v>2951</v>
      </c>
      <c r="D87" s="93"/>
      <c r="E87" s="95">
        <v>99.62</v>
      </c>
      <c r="F87" s="95">
        <v>99.13</v>
      </c>
      <c r="G87" s="95">
        <v>99.31</v>
      </c>
      <c r="H87" s="95">
        <v>100.2</v>
      </c>
      <c r="I87" s="95">
        <v>99.44</v>
      </c>
      <c r="J87" s="95">
        <v>100.12</v>
      </c>
      <c r="K87" s="95">
        <v>100.85</v>
      </c>
      <c r="L87" s="95">
        <v>101.21</v>
      </c>
      <c r="M87" s="95">
        <v>99.48</v>
      </c>
      <c r="N87" s="95">
        <v>98.4</v>
      </c>
      <c r="O87" s="95">
        <v>101.4</v>
      </c>
      <c r="P87" s="95">
        <v>99.81</v>
      </c>
      <c r="Q87" s="95">
        <v>100.17</v>
      </c>
      <c r="R87" s="95">
        <v>99.94</v>
      </c>
      <c r="S87" s="95">
        <v>99.96</v>
      </c>
      <c r="T87" s="110"/>
      <c r="U87" s="95">
        <v>102.15</v>
      </c>
      <c r="V87" s="95">
        <v>99.55</v>
      </c>
      <c r="W87" s="95">
        <v>100.16</v>
      </c>
      <c r="X87" s="95">
        <v>99.85</v>
      </c>
      <c r="Y87" s="95">
        <v>99.31</v>
      </c>
      <c r="Z87" s="95">
        <v>99.87</v>
      </c>
      <c r="AA87" s="95">
        <v>99.91</v>
      </c>
    </row>
    <row r="88" spans="3:27" ht="13.8" x14ac:dyDescent="0.25">
      <c r="C88" s="92" t="s">
        <v>2952</v>
      </c>
      <c r="D88" s="93"/>
      <c r="E88" s="95">
        <v>99.79</v>
      </c>
      <c r="F88" s="95">
        <v>99.39</v>
      </c>
      <c r="G88" s="95">
        <v>99.3</v>
      </c>
      <c r="H88" s="95">
        <v>100.25</v>
      </c>
      <c r="I88" s="95">
        <v>99.63</v>
      </c>
      <c r="J88" s="95">
        <v>100.11</v>
      </c>
      <c r="K88" s="95">
        <v>100.89</v>
      </c>
      <c r="L88" s="95">
        <v>100.97</v>
      </c>
      <c r="M88" s="95">
        <v>99.52</v>
      </c>
      <c r="N88" s="95">
        <v>98.55</v>
      </c>
      <c r="O88" s="95">
        <v>101.6</v>
      </c>
      <c r="P88" s="95">
        <v>99.84</v>
      </c>
      <c r="Q88" s="95">
        <v>100.27</v>
      </c>
      <c r="R88" s="95">
        <v>99.99</v>
      </c>
      <c r="S88" s="95">
        <v>99.99</v>
      </c>
      <c r="T88" s="110"/>
      <c r="U88" s="95">
        <v>102.25</v>
      </c>
      <c r="V88" s="95">
        <v>99.5</v>
      </c>
      <c r="W88" s="95">
        <v>100.2</v>
      </c>
      <c r="X88" s="95">
        <v>100.06</v>
      </c>
      <c r="Y88" s="95">
        <v>99.47</v>
      </c>
      <c r="Z88" s="95">
        <v>99.87</v>
      </c>
      <c r="AA88" s="95">
        <v>99.93</v>
      </c>
    </row>
    <row r="89" spans="3:27" ht="13.8" x14ac:dyDescent="0.25">
      <c r="C89" s="92" t="s">
        <v>2953</v>
      </c>
      <c r="D89" s="93"/>
      <c r="E89" s="95">
        <v>99.95</v>
      </c>
      <c r="F89" s="95">
        <v>99.65</v>
      </c>
      <c r="G89" s="95">
        <v>99.33</v>
      </c>
      <c r="H89" s="95">
        <v>100.27</v>
      </c>
      <c r="I89" s="95">
        <v>99.83</v>
      </c>
      <c r="J89" s="95">
        <v>100.09</v>
      </c>
      <c r="K89" s="95">
        <v>100.89</v>
      </c>
      <c r="L89" s="95">
        <v>100.71</v>
      </c>
      <c r="M89" s="95">
        <v>99.63</v>
      </c>
      <c r="N89" s="95">
        <v>98.77</v>
      </c>
      <c r="O89" s="95">
        <v>101.7</v>
      </c>
      <c r="P89" s="95">
        <v>99.91</v>
      </c>
      <c r="Q89" s="95">
        <v>100.34</v>
      </c>
      <c r="R89" s="95">
        <v>100.06</v>
      </c>
      <c r="S89" s="95">
        <v>100.04</v>
      </c>
      <c r="T89" s="110"/>
      <c r="U89" s="95">
        <v>102.31</v>
      </c>
      <c r="V89" s="95">
        <v>99.51</v>
      </c>
      <c r="W89" s="95">
        <v>100.24</v>
      </c>
      <c r="X89" s="95">
        <v>100.28</v>
      </c>
      <c r="Y89" s="95">
        <v>99.65</v>
      </c>
      <c r="Z89" s="95">
        <v>99.9</v>
      </c>
      <c r="AA89" s="95">
        <v>99.98</v>
      </c>
    </row>
    <row r="90" spans="3:27" ht="13.8" x14ac:dyDescent="0.25">
      <c r="C90" s="92" t="s">
        <v>2954</v>
      </c>
      <c r="D90" s="93"/>
      <c r="E90" s="95">
        <v>100.08</v>
      </c>
      <c r="F90" s="95">
        <v>99.94</v>
      </c>
      <c r="G90" s="95">
        <v>99.39</v>
      </c>
      <c r="H90" s="95">
        <v>100.26</v>
      </c>
      <c r="I90" s="95">
        <v>100.03</v>
      </c>
      <c r="J90" s="95">
        <v>100.06</v>
      </c>
      <c r="K90" s="95">
        <v>100.84</v>
      </c>
      <c r="L90" s="95">
        <v>100.45</v>
      </c>
      <c r="M90" s="95">
        <v>99.81</v>
      </c>
      <c r="N90" s="95">
        <v>99.09</v>
      </c>
      <c r="O90" s="95">
        <v>101.69</v>
      </c>
      <c r="P90" s="95">
        <v>100.03</v>
      </c>
      <c r="Q90" s="95">
        <v>100.39</v>
      </c>
      <c r="R90" s="95">
        <v>100.15</v>
      </c>
      <c r="S90" s="95">
        <v>100.12</v>
      </c>
      <c r="T90" s="110"/>
      <c r="U90" s="95">
        <v>102.29</v>
      </c>
      <c r="V90" s="95">
        <v>99.6</v>
      </c>
      <c r="W90" s="95">
        <v>100.26</v>
      </c>
      <c r="X90" s="95">
        <v>100.46</v>
      </c>
      <c r="Y90" s="95">
        <v>99.86</v>
      </c>
      <c r="Z90" s="95">
        <v>99.96</v>
      </c>
      <c r="AA90" s="95">
        <v>100.07</v>
      </c>
    </row>
    <row r="91" spans="3:27" ht="13.8" x14ac:dyDescent="0.25">
      <c r="C91" s="92" t="s">
        <v>2998</v>
      </c>
      <c r="D91" s="93"/>
      <c r="E91" s="95">
        <v>100.18</v>
      </c>
      <c r="F91" s="95">
        <v>100.22</v>
      </c>
      <c r="G91" s="95">
        <v>99.45</v>
      </c>
      <c r="H91" s="95">
        <v>100.23</v>
      </c>
      <c r="I91" s="95">
        <v>100.22</v>
      </c>
      <c r="J91" s="95">
        <v>100.02</v>
      </c>
      <c r="K91" s="95">
        <v>100.76</v>
      </c>
      <c r="L91" s="95">
        <v>100.25</v>
      </c>
      <c r="M91" s="95">
        <v>100.01</v>
      </c>
      <c r="N91" s="95">
        <v>99.51</v>
      </c>
      <c r="O91" s="95">
        <v>101.65</v>
      </c>
      <c r="P91" s="95">
        <v>100.18</v>
      </c>
      <c r="Q91" s="95">
        <v>100.42</v>
      </c>
      <c r="R91" s="95">
        <v>100.24</v>
      </c>
      <c r="S91" s="95">
        <v>100.21</v>
      </c>
      <c r="T91" s="110"/>
      <c r="U91" s="95">
        <v>102.18</v>
      </c>
      <c r="V91" s="95">
        <v>99.76</v>
      </c>
      <c r="W91" s="95">
        <v>100.27</v>
      </c>
      <c r="X91" s="95">
        <v>100.58</v>
      </c>
      <c r="Y91" s="95">
        <v>100.09</v>
      </c>
      <c r="Z91" s="95">
        <v>100.05</v>
      </c>
      <c r="AA91" s="95">
        <v>100.2</v>
      </c>
    </row>
    <row r="92" spans="3:27" ht="13.8" x14ac:dyDescent="0.25">
      <c r="C92" s="92" t="s">
        <v>3001</v>
      </c>
      <c r="D92" s="93"/>
      <c r="E92" s="95">
        <v>100.26</v>
      </c>
      <c r="F92" s="95">
        <v>100.48</v>
      </c>
      <c r="G92" s="95">
        <v>99.54</v>
      </c>
      <c r="H92" s="95">
        <v>100.17</v>
      </c>
      <c r="I92" s="95">
        <v>100.39</v>
      </c>
      <c r="J92" s="95">
        <v>99.98</v>
      </c>
      <c r="K92" s="95">
        <v>100.65</v>
      </c>
      <c r="L92" s="95">
        <v>100.14</v>
      </c>
      <c r="M92" s="95">
        <v>100.21</v>
      </c>
      <c r="N92" s="95">
        <v>99.95</v>
      </c>
      <c r="O92" s="95">
        <v>101.59</v>
      </c>
      <c r="P92" s="95">
        <v>100.36</v>
      </c>
      <c r="Q92" s="95">
        <v>100.45</v>
      </c>
      <c r="R92" s="95">
        <v>100.35</v>
      </c>
      <c r="S92" s="95">
        <v>100.32</v>
      </c>
      <c r="T92" s="110"/>
      <c r="U92" s="95">
        <v>102.01</v>
      </c>
      <c r="V92" s="95">
        <v>99.96</v>
      </c>
      <c r="W92" s="95">
        <v>100.27</v>
      </c>
      <c r="X92" s="95">
        <v>100.64</v>
      </c>
      <c r="Y92" s="95">
        <v>100.3</v>
      </c>
      <c r="Z92" s="95">
        <v>100.16</v>
      </c>
      <c r="AA92" s="95">
        <v>100.35</v>
      </c>
    </row>
    <row r="93" spans="3:27" ht="13.8" x14ac:dyDescent="0.25">
      <c r="C93" s="92" t="s">
        <v>3002</v>
      </c>
      <c r="D93" s="93"/>
      <c r="E93" s="95">
        <v>100.35</v>
      </c>
      <c r="F93" s="95">
        <v>100.72</v>
      </c>
      <c r="G93" s="95">
        <v>99.63</v>
      </c>
      <c r="H93" s="95">
        <v>100.11</v>
      </c>
      <c r="I93" s="95">
        <v>100.55</v>
      </c>
      <c r="J93" s="95">
        <v>99.96</v>
      </c>
      <c r="K93" s="95">
        <v>100.52</v>
      </c>
      <c r="L93" s="95">
        <v>100.09</v>
      </c>
      <c r="M93" s="95">
        <v>100.39</v>
      </c>
      <c r="N93" s="95">
        <v>100.36</v>
      </c>
      <c r="O93" s="95">
        <v>101.54</v>
      </c>
      <c r="P93" s="95">
        <v>100.53</v>
      </c>
      <c r="Q93" s="95">
        <v>100.46</v>
      </c>
      <c r="R93" s="95">
        <v>100.45</v>
      </c>
      <c r="S93" s="95">
        <v>100.44</v>
      </c>
      <c r="T93" s="110"/>
      <c r="U93" s="95">
        <v>101.8</v>
      </c>
      <c r="V93" s="95">
        <v>100.19</v>
      </c>
      <c r="W93" s="95">
        <v>100.27</v>
      </c>
      <c r="X93" s="95">
        <v>100.66</v>
      </c>
      <c r="Y93" s="95">
        <v>100.47</v>
      </c>
      <c r="Z93" s="95">
        <v>100.28</v>
      </c>
      <c r="AA93" s="95">
        <v>100.51</v>
      </c>
    </row>
    <row r="99" spans="3:27" ht="17.399999999999999" x14ac:dyDescent="0.25">
      <c r="C99" s="111" t="s">
        <v>3004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3:27" ht="13.8" x14ac:dyDescent="0.25">
      <c r="C100" s="193" t="s">
        <v>2988</v>
      </c>
      <c r="D100" s="194"/>
      <c r="E100" s="191" t="s">
        <v>2929</v>
      </c>
      <c r="F100" s="191" t="s">
        <v>2930</v>
      </c>
      <c r="G100" s="191" t="s">
        <v>2931</v>
      </c>
      <c r="H100" s="191" t="s">
        <v>2932</v>
      </c>
      <c r="I100" s="191" t="s">
        <v>2933</v>
      </c>
      <c r="J100" s="191" t="s">
        <v>2934</v>
      </c>
      <c r="K100" s="191" t="s">
        <v>2935</v>
      </c>
      <c r="L100" s="191" t="s">
        <v>2936</v>
      </c>
      <c r="M100" s="191" t="s">
        <v>2937</v>
      </c>
      <c r="N100" s="191" t="s">
        <v>2938</v>
      </c>
      <c r="O100" s="191" t="s">
        <v>2939</v>
      </c>
      <c r="P100" s="191" t="s">
        <v>2940</v>
      </c>
      <c r="Q100" s="191" t="s">
        <v>2941</v>
      </c>
      <c r="R100" s="191" t="s">
        <v>2942</v>
      </c>
      <c r="S100" s="191" t="s">
        <v>2943</v>
      </c>
      <c r="T100" s="191" t="s">
        <v>2989</v>
      </c>
      <c r="U100" s="106" t="s">
        <v>2970</v>
      </c>
      <c r="V100" s="106" t="s">
        <v>2970</v>
      </c>
      <c r="W100" s="106" t="s">
        <v>2970</v>
      </c>
      <c r="X100" s="106" t="s">
        <v>2970</v>
      </c>
      <c r="Y100" s="106" t="s">
        <v>2970</v>
      </c>
      <c r="Z100" s="191" t="s">
        <v>2995</v>
      </c>
      <c r="AA100" s="191" t="s">
        <v>2996</v>
      </c>
    </row>
    <row r="101" spans="3:27" ht="55.2" x14ac:dyDescent="0.25">
      <c r="C101" s="195"/>
      <c r="D101" s="196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07" t="s">
        <v>2990</v>
      </c>
      <c r="V101" s="107" t="s">
        <v>2991</v>
      </c>
      <c r="W101" s="107" t="s">
        <v>2992</v>
      </c>
      <c r="X101" s="107" t="s">
        <v>2993</v>
      </c>
      <c r="Y101" s="107" t="s">
        <v>2994</v>
      </c>
      <c r="Z101" s="192"/>
      <c r="AA101" s="192"/>
    </row>
    <row r="102" spans="3:27" ht="13.8" x14ac:dyDescent="0.25">
      <c r="C102" s="108" t="s">
        <v>2997</v>
      </c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</row>
    <row r="103" spans="3:27" ht="13.8" x14ac:dyDescent="0.25">
      <c r="C103" s="92" t="s">
        <v>2949</v>
      </c>
      <c r="D103" s="93"/>
      <c r="E103" s="95">
        <v>99.29</v>
      </c>
      <c r="F103" s="95">
        <v>98.56</v>
      </c>
      <c r="G103" s="95">
        <v>99.39</v>
      </c>
      <c r="H103" s="95">
        <v>99.93</v>
      </c>
      <c r="I103" s="95">
        <v>99.13</v>
      </c>
      <c r="J103" s="95">
        <v>100.08</v>
      </c>
      <c r="K103" s="95">
        <v>100.58</v>
      </c>
      <c r="L103" s="95">
        <v>101.61</v>
      </c>
      <c r="M103" s="95">
        <v>99.36</v>
      </c>
      <c r="N103" s="95">
        <v>98.16</v>
      </c>
      <c r="O103" s="95">
        <v>101</v>
      </c>
      <c r="P103" s="95">
        <v>99.71</v>
      </c>
      <c r="Q103" s="95">
        <v>99.94</v>
      </c>
      <c r="R103" s="95">
        <v>99.78</v>
      </c>
      <c r="S103" s="95">
        <v>99.91</v>
      </c>
      <c r="T103" s="110"/>
      <c r="U103" s="95">
        <v>101.94</v>
      </c>
      <c r="V103" s="95">
        <v>99.72</v>
      </c>
      <c r="W103" s="95">
        <v>100.1</v>
      </c>
      <c r="X103" s="95">
        <v>99.6</v>
      </c>
      <c r="Y103" s="95">
        <v>99.08</v>
      </c>
      <c r="Z103" s="95">
        <v>99.92</v>
      </c>
      <c r="AA103" s="95">
        <v>99.82</v>
      </c>
    </row>
    <row r="104" spans="3:27" ht="13.8" x14ac:dyDescent="0.25">
      <c r="C104" s="92" t="s">
        <v>2950</v>
      </c>
      <c r="D104" s="93"/>
      <c r="E104" s="95">
        <v>99.45</v>
      </c>
      <c r="F104" s="95">
        <v>98.77</v>
      </c>
      <c r="G104" s="95">
        <v>99.33</v>
      </c>
      <c r="H104" s="95">
        <v>100.08</v>
      </c>
      <c r="I104" s="95">
        <v>99.22</v>
      </c>
      <c r="J104" s="95">
        <v>100.12</v>
      </c>
      <c r="K104" s="95">
        <v>100.68</v>
      </c>
      <c r="L104" s="95">
        <v>101.52</v>
      </c>
      <c r="M104" s="95">
        <v>99.35</v>
      </c>
      <c r="N104" s="95">
        <v>98.22</v>
      </c>
      <c r="O104" s="95">
        <v>101.23</v>
      </c>
      <c r="P104" s="95">
        <v>99.74</v>
      </c>
      <c r="Q104" s="95">
        <v>100.05</v>
      </c>
      <c r="R104" s="95">
        <v>99.84</v>
      </c>
      <c r="S104" s="95">
        <v>99.91</v>
      </c>
      <c r="T104" s="110"/>
      <c r="U104" s="95">
        <v>102.05</v>
      </c>
      <c r="V104" s="95">
        <v>99.54</v>
      </c>
      <c r="W104" s="95">
        <v>100.17</v>
      </c>
      <c r="X104" s="95">
        <v>99.71</v>
      </c>
      <c r="Y104" s="95">
        <v>99.18</v>
      </c>
      <c r="Z104" s="95">
        <v>99.86</v>
      </c>
      <c r="AA104" s="95">
        <v>99.85</v>
      </c>
    </row>
    <row r="105" spans="3:27" ht="13.8" x14ac:dyDescent="0.25">
      <c r="C105" s="92" t="s">
        <v>2951</v>
      </c>
      <c r="D105" s="93"/>
      <c r="E105" s="95">
        <v>99.62</v>
      </c>
      <c r="F105" s="95">
        <v>99.01</v>
      </c>
      <c r="G105" s="95">
        <v>99.29</v>
      </c>
      <c r="H105" s="95">
        <v>100.17</v>
      </c>
      <c r="I105" s="95">
        <v>99.37</v>
      </c>
      <c r="J105" s="95">
        <v>100.14</v>
      </c>
      <c r="K105" s="95">
        <v>100.74</v>
      </c>
      <c r="L105" s="95">
        <v>101.31</v>
      </c>
      <c r="M105" s="95">
        <v>99.37</v>
      </c>
      <c r="N105" s="95">
        <v>98.33</v>
      </c>
      <c r="O105" s="95">
        <v>101.47</v>
      </c>
      <c r="P105" s="95">
        <v>99.75</v>
      </c>
      <c r="Q105" s="95">
        <v>100.16</v>
      </c>
      <c r="R105" s="95">
        <v>99.9</v>
      </c>
      <c r="S105" s="95">
        <v>99.91</v>
      </c>
      <c r="T105" s="110"/>
      <c r="U105" s="95">
        <v>102.16</v>
      </c>
      <c r="V105" s="95">
        <v>99.4</v>
      </c>
      <c r="W105" s="95">
        <v>100.24</v>
      </c>
      <c r="X105" s="95">
        <v>99.87</v>
      </c>
      <c r="Y105" s="95">
        <v>99.31</v>
      </c>
      <c r="Z105" s="95">
        <v>99.81</v>
      </c>
      <c r="AA105" s="95">
        <v>99.86</v>
      </c>
    </row>
    <row r="106" spans="3:27" ht="13.8" x14ac:dyDescent="0.25">
      <c r="C106" s="92" t="s">
        <v>2952</v>
      </c>
      <c r="D106" s="93"/>
      <c r="E106" s="95">
        <v>99.8</v>
      </c>
      <c r="F106" s="95">
        <v>99.27</v>
      </c>
      <c r="G106" s="95">
        <v>99.28</v>
      </c>
      <c r="H106" s="95">
        <v>100.23</v>
      </c>
      <c r="I106" s="95">
        <v>99.55</v>
      </c>
      <c r="J106" s="95">
        <v>100.13</v>
      </c>
      <c r="K106" s="95">
        <v>100.77</v>
      </c>
      <c r="L106" s="95">
        <v>101.03</v>
      </c>
      <c r="M106" s="95">
        <v>99.48</v>
      </c>
      <c r="N106" s="95">
        <v>98.49</v>
      </c>
      <c r="O106" s="95">
        <v>101.66</v>
      </c>
      <c r="P106" s="95">
        <v>99.79</v>
      </c>
      <c r="Q106" s="95">
        <v>100.26</v>
      </c>
      <c r="R106" s="95">
        <v>99.96</v>
      </c>
      <c r="S106" s="95">
        <v>99.93</v>
      </c>
      <c r="T106" s="110"/>
      <c r="U106" s="95">
        <v>102.27</v>
      </c>
      <c r="V106" s="95">
        <v>99.3</v>
      </c>
      <c r="W106" s="95">
        <v>100.28</v>
      </c>
      <c r="X106" s="95">
        <v>100.08</v>
      </c>
      <c r="Y106" s="95">
        <v>99.49</v>
      </c>
      <c r="Z106" s="95">
        <v>99.78</v>
      </c>
      <c r="AA106" s="95">
        <v>99.88</v>
      </c>
    </row>
    <row r="107" spans="3:27" ht="13.8" x14ac:dyDescent="0.25">
      <c r="C107" s="92" t="s">
        <v>2953</v>
      </c>
      <c r="D107" s="93"/>
      <c r="E107" s="95">
        <v>99.95</v>
      </c>
      <c r="F107" s="95">
        <v>99.55</v>
      </c>
      <c r="G107" s="95">
        <v>99.32</v>
      </c>
      <c r="H107" s="95">
        <v>100.24</v>
      </c>
      <c r="I107" s="95">
        <v>99.75</v>
      </c>
      <c r="J107" s="95">
        <v>100.1</v>
      </c>
      <c r="K107" s="95">
        <v>100.77</v>
      </c>
      <c r="L107" s="95">
        <v>100.72</v>
      </c>
      <c r="M107" s="95">
        <v>99.66</v>
      </c>
      <c r="N107" s="95">
        <v>98.71</v>
      </c>
      <c r="O107" s="95">
        <v>101.74</v>
      </c>
      <c r="P107" s="95">
        <v>99.89</v>
      </c>
      <c r="Q107" s="95">
        <v>100.33</v>
      </c>
      <c r="R107" s="95">
        <v>100.04</v>
      </c>
      <c r="S107" s="95">
        <v>99.97</v>
      </c>
      <c r="T107" s="110"/>
      <c r="U107" s="95">
        <v>102.34</v>
      </c>
      <c r="V107" s="95">
        <v>99.28</v>
      </c>
      <c r="W107" s="95">
        <v>100.31</v>
      </c>
      <c r="X107" s="95">
        <v>100.3</v>
      </c>
      <c r="Y107" s="95">
        <v>99.7</v>
      </c>
      <c r="Z107" s="95">
        <v>99.79</v>
      </c>
      <c r="AA107" s="95">
        <v>99.95</v>
      </c>
    </row>
    <row r="108" spans="3:27" ht="13.8" x14ac:dyDescent="0.25">
      <c r="C108" s="92" t="s">
        <v>2954</v>
      </c>
      <c r="D108" s="93"/>
      <c r="E108" s="95">
        <v>100.08</v>
      </c>
      <c r="F108" s="95">
        <v>99.86</v>
      </c>
      <c r="G108" s="95">
        <v>99.39</v>
      </c>
      <c r="H108" s="95">
        <v>100.24</v>
      </c>
      <c r="I108" s="95">
        <v>99.96</v>
      </c>
      <c r="J108" s="95">
        <v>100.06</v>
      </c>
      <c r="K108" s="95">
        <v>100.74</v>
      </c>
      <c r="L108" s="95">
        <v>100.42</v>
      </c>
      <c r="M108" s="95">
        <v>99.93</v>
      </c>
      <c r="N108" s="95">
        <v>99.04</v>
      </c>
      <c r="O108" s="95">
        <v>101.7</v>
      </c>
      <c r="P108" s="95">
        <v>100.02</v>
      </c>
      <c r="Q108" s="95">
        <v>100.37</v>
      </c>
      <c r="R108" s="95">
        <v>100.14</v>
      </c>
      <c r="S108" s="95">
        <v>100.05</v>
      </c>
      <c r="T108" s="110"/>
      <c r="U108" s="95">
        <v>102.31</v>
      </c>
      <c r="V108" s="95">
        <v>99.34</v>
      </c>
      <c r="W108" s="95">
        <v>100.33</v>
      </c>
      <c r="X108" s="95">
        <v>100.47</v>
      </c>
      <c r="Y108" s="95">
        <v>99.94</v>
      </c>
      <c r="Z108" s="95">
        <v>99.83</v>
      </c>
      <c r="AA108" s="95">
        <v>100.06</v>
      </c>
    </row>
    <row r="109" spans="3:27" ht="13.8" x14ac:dyDescent="0.25">
      <c r="C109" s="92" t="s">
        <v>2998</v>
      </c>
      <c r="D109" s="93"/>
      <c r="E109" s="95">
        <v>100.16</v>
      </c>
      <c r="F109" s="95">
        <v>100.17</v>
      </c>
      <c r="G109" s="95">
        <v>99.48</v>
      </c>
      <c r="H109" s="95">
        <v>100.22</v>
      </c>
      <c r="I109" s="95">
        <v>100.16</v>
      </c>
      <c r="J109" s="95">
        <v>100.01</v>
      </c>
      <c r="K109" s="95">
        <v>100.7</v>
      </c>
      <c r="L109" s="95">
        <v>100.17</v>
      </c>
      <c r="M109" s="95">
        <v>100.22</v>
      </c>
      <c r="N109" s="95">
        <v>99.46</v>
      </c>
      <c r="O109" s="95">
        <v>101.58</v>
      </c>
      <c r="P109" s="95">
        <v>100.2</v>
      </c>
      <c r="Q109" s="95">
        <v>100.4</v>
      </c>
      <c r="R109" s="95">
        <v>100.24</v>
      </c>
      <c r="S109" s="95">
        <v>100.14</v>
      </c>
      <c r="T109" s="110"/>
      <c r="U109" s="95">
        <v>102.19</v>
      </c>
      <c r="V109" s="95">
        <v>99.49</v>
      </c>
      <c r="W109" s="95">
        <v>100.33</v>
      </c>
      <c r="X109" s="95">
        <v>100.57</v>
      </c>
      <c r="Y109" s="95">
        <v>100.19</v>
      </c>
      <c r="Z109" s="95">
        <v>99.91</v>
      </c>
      <c r="AA109" s="95">
        <v>100.2</v>
      </c>
    </row>
    <row r="110" spans="3:27" ht="13.8" x14ac:dyDescent="0.25">
      <c r="C110" s="92" t="s">
        <v>3001</v>
      </c>
      <c r="D110" s="93"/>
      <c r="E110" s="95">
        <v>100.21</v>
      </c>
      <c r="F110" s="95">
        <v>100.47</v>
      </c>
      <c r="G110" s="95">
        <v>99.6</v>
      </c>
      <c r="H110" s="95">
        <v>100.18</v>
      </c>
      <c r="I110" s="95">
        <v>100.35</v>
      </c>
      <c r="J110" s="95">
        <v>99.94</v>
      </c>
      <c r="K110" s="95">
        <v>100.69</v>
      </c>
      <c r="L110" s="95">
        <v>100.01</v>
      </c>
      <c r="M110" s="95">
        <v>100.5</v>
      </c>
      <c r="N110" s="95">
        <v>99.91</v>
      </c>
      <c r="O110" s="95">
        <v>101.43</v>
      </c>
      <c r="P110" s="95">
        <v>100.39</v>
      </c>
      <c r="Q110" s="95">
        <v>100.42</v>
      </c>
      <c r="R110" s="95">
        <v>100.35</v>
      </c>
      <c r="S110" s="95">
        <v>100.25</v>
      </c>
      <c r="T110" s="110"/>
      <c r="U110" s="95">
        <v>101.99</v>
      </c>
      <c r="V110" s="95">
        <v>99.68</v>
      </c>
      <c r="W110" s="95">
        <v>100.32</v>
      </c>
      <c r="X110" s="95">
        <v>100.61</v>
      </c>
      <c r="Y110" s="95">
        <v>100.42</v>
      </c>
      <c r="Z110" s="95">
        <v>100.01</v>
      </c>
      <c r="AA110" s="95">
        <v>100.36</v>
      </c>
    </row>
    <row r="111" spans="3:27" ht="13.8" x14ac:dyDescent="0.25">
      <c r="C111" s="92" t="s">
        <v>3002</v>
      </c>
      <c r="D111" s="93"/>
      <c r="E111" s="95">
        <v>100.25</v>
      </c>
      <c r="F111" s="95">
        <v>100.76</v>
      </c>
      <c r="G111" s="95">
        <v>99.74</v>
      </c>
      <c r="H111" s="95">
        <v>100.15</v>
      </c>
      <c r="I111" s="95">
        <v>100.53</v>
      </c>
      <c r="J111" s="95">
        <v>99.88</v>
      </c>
      <c r="K111" s="95">
        <v>100.7</v>
      </c>
      <c r="L111" s="95">
        <v>99.91</v>
      </c>
      <c r="M111" s="95">
        <v>100.74</v>
      </c>
      <c r="N111" s="95">
        <v>100.33</v>
      </c>
      <c r="O111" s="95">
        <v>101.25</v>
      </c>
      <c r="P111" s="95">
        <v>100.57</v>
      </c>
      <c r="Q111" s="95">
        <v>100.43</v>
      </c>
      <c r="R111" s="95">
        <v>100.46</v>
      </c>
      <c r="S111" s="95">
        <v>100.35</v>
      </c>
      <c r="T111" s="110"/>
      <c r="U111" s="95">
        <v>101.73</v>
      </c>
      <c r="V111" s="95">
        <v>99.88</v>
      </c>
      <c r="W111" s="95">
        <v>100.31</v>
      </c>
      <c r="X111" s="95">
        <v>100.6</v>
      </c>
      <c r="Y111" s="95">
        <v>100.6</v>
      </c>
      <c r="Z111" s="95">
        <v>100.11</v>
      </c>
      <c r="AA111" s="95">
        <v>100.53</v>
      </c>
    </row>
    <row r="112" spans="3:27" ht="13.8" x14ac:dyDescent="0.25">
      <c r="C112" s="92" t="s">
        <v>3005</v>
      </c>
      <c r="D112" s="93"/>
      <c r="E112" s="95">
        <v>100.29</v>
      </c>
      <c r="F112" s="95">
        <v>101.04</v>
      </c>
      <c r="G112" s="95">
        <v>99.9</v>
      </c>
      <c r="H112" s="95">
        <v>100.14</v>
      </c>
      <c r="I112" s="95">
        <v>100.71</v>
      </c>
      <c r="J112" s="95">
        <v>99.81</v>
      </c>
      <c r="K112" s="95">
        <v>100.74</v>
      </c>
      <c r="L112" s="95">
        <v>99.85</v>
      </c>
      <c r="M112" s="95">
        <v>100.94</v>
      </c>
      <c r="N112" s="95">
        <v>100.67</v>
      </c>
      <c r="O112" s="95">
        <v>101.05</v>
      </c>
      <c r="P112" s="95">
        <v>100.74</v>
      </c>
      <c r="Q112" s="95">
        <v>100.45</v>
      </c>
      <c r="R112" s="95">
        <v>100.56</v>
      </c>
      <c r="S112" s="95">
        <v>100.45</v>
      </c>
      <c r="T112" s="110"/>
      <c r="U112" s="95">
        <v>101.43</v>
      </c>
      <c r="V112" s="95">
        <v>100.09</v>
      </c>
      <c r="W112" s="95">
        <v>100.3</v>
      </c>
      <c r="X112" s="95">
        <v>100.57</v>
      </c>
      <c r="Y112" s="95">
        <v>100.76</v>
      </c>
      <c r="Z112" s="95">
        <v>100.21</v>
      </c>
      <c r="AA112" s="95">
        <v>100.68</v>
      </c>
    </row>
    <row r="121" spans="3:27" ht="13.8" x14ac:dyDescent="0.25">
      <c r="C121" s="193" t="s">
        <v>2988</v>
      </c>
      <c r="D121" s="194"/>
      <c r="E121" s="191" t="s">
        <v>2929</v>
      </c>
      <c r="F121" s="191" t="s">
        <v>2930</v>
      </c>
      <c r="G121" s="191" t="s">
        <v>2931</v>
      </c>
      <c r="H121" s="191" t="s">
        <v>2932</v>
      </c>
      <c r="I121" s="191" t="s">
        <v>2933</v>
      </c>
      <c r="J121" s="191" t="s">
        <v>2934</v>
      </c>
      <c r="K121" s="191" t="s">
        <v>2935</v>
      </c>
      <c r="L121" s="191" t="s">
        <v>2936</v>
      </c>
      <c r="M121" s="191" t="s">
        <v>2937</v>
      </c>
      <c r="N121" s="191" t="s">
        <v>2938</v>
      </c>
      <c r="O121" s="191" t="s">
        <v>2939</v>
      </c>
      <c r="P121" s="191" t="s">
        <v>2940</v>
      </c>
      <c r="Q121" s="191" t="s">
        <v>2941</v>
      </c>
      <c r="R121" s="191" t="s">
        <v>2942</v>
      </c>
      <c r="S121" s="191" t="s">
        <v>2943</v>
      </c>
      <c r="T121" s="191" t="s">
        <v>2989</v>
      </c>
      <c r="U121" s="106" t="s">
        <v>2970</v>
      </c>
      <c r="V121" s="106" t="s">
        <v>2970</v>
      </c>
      <c r="W121" s="106" t="s">
        <v>2970</v>
      </c>
      <c r="X121" s="106" t="s">
        <v>2970</v>
      </c>
      <c r="Y121" s="106" t="s">
        <v>2970</v>
      </c>
      <c r="Z121" s="191" t="s">
        <v>2995</v>
      </c>
      <c r="AA121" s="191" t="s">
        <v>2996</v>
      </c>
    </row>
    <row r="122" spans="3:27" ht="55.2" x14ac:dyDescent="0.25">
      <c r="C122" s="195"/>
      <c r="D122" s="196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07" t="s">
        <v>2990</v>
      </c>
      <c r="V122" s="107" t="s">
        <v>2991</v>
      </c>
      <c r="W122" s="107" t="s">
        <v>2992</v>
      </c>
      <c r="X122" s="107" t="s">
        <v>2993</v>
      </c>
      <c r="Y122" s="107" t="s">
        <v>2994</v>
      </c>
      <c r="Z122" s="192"/>
      <c r="AA122" s="192"/>
    </row>
    <row r="123" spans="3:27" ht="13.8" x14ac:dyDescent="0.25">
      <c r="C123" s="108" t="s">
        <v>2997</v>
      </c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</row>
    <row r="124" spans="3:27" ht="13.8" x14ac:dyDescent="0.25">
      <c r="C124" s="92" t="s">
        <v>2951</v>
      </c>
      <c r="D124" s="93"/>
      <c r="E124" s="95">
        <v>99.62</v>
      </c>
      <c r="F124" s="95">
        <v>98.92</v>
      </c>
      <c r="G124" s="95">
        <v>99.22</v>
      </c>
      <c r="H124" s="95">
        <v>100.06</v>
      </c>
      <c r="I124" s="95">
        <v>99.45</v>
      </c>
      <c r="J124" s="95">
        <v>100.16</v>
      </c>
      <c r="K124" s="95">
        <v>100.68</v>
      </c>
      <c r="L124" s="95">
        <v>101.35</v>
      </c>
      <c r="M124" s="95">
        <v>99.31</v>
      </c>
      <c r="N124" s="95">
        <v>98.37</v>
      </c>
      <c r="O124" s="95">
        <v>101.2</v>
      </c>
      <c r="P124" s="95">
        <v>99.74</v>
      </c>
      <c r="Q124" s="95">
        <v>100.06</v>
      </c>
      <c r="R124" s="95">
        <v>99.86</v>
      </c>
      <c r="S124" s="95">
        <v>99.79</v>
      </c>
      <c r="T124" s="110"/>
      <c r="U124" s="95">
        <v>102.11</v>
      </c>
      <c r="V124" s="95">
        <v>99</v>
      </c>
      <c r="W124" s="95">
        <v>100.23</v>
      </c>
      <c r="X124" s="95">
        <v>99.86</v>
      </c>
      <c r="Y124" s="95">
        <v>99.18</v>
      </c>
      <c r="Z124" s="95">
        <v>99.6</v>
      </c>
      <c r="AA124" s="95">
        <v>99.84</v>
      </c>
    </row>
    <row r="125" spans="3:27" ht="13.8" x14ac:dyDescent="0.25">
      <c r="C125" s="92" t="s">
        <v>2952</v>
      </c>
      <c r="D125" s="93"/>
      <c r="E125" s="95">
        <v>99.81</v>
      </c>
      <c r="F125" s="95">
        <v>99.19</v>
      </c>
      <c r="G125" s="95">
        <v>99.21</v>
      </c>
      <c r="H125" s="95">
        <v>100.1</v>
      </c>
      <c r="I125" s="95">
        <v>99.62</v>
      </c>
      <c r="J125" s="95">
        <v>100.15</v>
      </c>
      <c r="K125" s="95">
        <v>100.71</v>
      </c>
      <c r="L125" s="95">
        <v>101.06</v>
      </c>
      <c r="M125" s="95">
        <v>99.39</v>
      </c>
      <c r="N125" s="95">
        <v>98.52</v>
      </c>
      <c r="O125" s="95">
        <v>101.35</v>
      </c>
      <c r="P125" s="95">
        <v>99.79</v>
      </c>
      <c r="Q125" s="95">
        <v>100.14</v>
      </c>
      <c r="R125" s="95">
        <v>99.92</v>
      </c>
      <c r="S125" s="95">
        <v>99.79</v>
      </c>
      <c r="T125" s="110"/>
      <c r="U125" s="95">
        <v>102.21</v>
      </c>
      <c r="V125" s="95">
        <v>98.83</v>
      </c>
      <c r="W125" s="95">
        <v>100.26</v>
      </c>
      <c r="X125" s="95">
        <v>100.07</v>
      </c>
      <c r="Y125" s="95">
        <v>99.35</v>
      </c>
      <c r="Z125" s="95">
        <v>99.53</v>
      </c>
      <c r="AA125" s="95">
        <v>99.88</v>
      </c>
    </row>
    <row r="126" spans="3:27" ht="13.8" x14ac:dyDescent="0.25">
      <c r="C126" s="92" t="s">
        <v>2953</v>
      </c>
      <c r="D126" s="93"/>
      <c r="E126" s="95">
        <v>99.96</v>
      </c>
      <c r="F126" s="95">
        <v>99.49</v>
      </c>
      <c r="G126" s="95">
        <v>99.25</v>
      </c>
      <c r="H126" s="95">
        <v>100.11</v>
      </c>
      <c r="I126" s="95">
        <v>99.79</v>
      </c>
      <c r="J126" s="95">
        <v>100.11</v>
      </c>
      <c r="K126" s="95">
        <v>100.71</v>
      </c>
      <c r="L126" s="95">
        <v>100.74</v>
      </c>
      <c r="M126" s="95">
        <v>99.55</v>
      </c>
      <c r="N126" s="95">
        <v>98.73</v>
      </c>
      <c r="O126" s="95">
        <v>101.39</v>
      </c>
      <c r="P126" s="95">
        <v>99.9</v>
      </c>
      <c r="Q126" s="95">
        <v>100.19</v>
      </c>
      <c r="R126" s="95">
        <v>100</v>
      </c>
      <c r="S126" s="95">
        <v>99.82</v>
      </c>
      <c r="T126" s="110"/>
      <c r="U126" s="95">
        <v>102.25</v>
      </c>
      <c r="V126" s="95">
        <v>98.77</v>
      </c>
      <c r="W126" s="95">
        <v>100.28</v>
      </c>
      <c r="X126" s="95">
        <v>100.29</v>
      </c>
      <c r="Y126" s="95">
        <v>99.55</v>
      </c>
      <c r="Z126" s="95">
        <v>99.51</v>
      </c>
      <c r="AA126" s="95">
        <v>99.96</v>
      </c>
    </row>
    <row r="127" spans="3:27" ht="13.8" x14ac:dyDescent="0.25">
      <c r="C127" s="92" t="s">
        <v>2954</v>
      </c>
      <c r="D127" s="93"/>
      <c r="E127" s="95">
        <v>100.06</v>
      </c>
      <c r="F127" s="95">
        <v>99.81</v>
      </c>
      <c r="G127" s="95">
        <v>99.32</v>
      </c>
      <c r="H127" s="95">
        <v>100.09</v>
      </c>
      <c r="I127" s="95">
        <v>99.94</v>
      </c>
      <c r="J127" s="95">
        <v>100.06</v>
      </c>
      <c r="K127" s="95">
        <v>100.68</v>
      </c>
      <c r="L127" s="95">
        <v>100.44</v>
      </c>
      <c r="M127" s="95">
        <v>99.8</v>
      </c>
      <c r="N127" s="95">
        <v>99.06</v>
      </c>
      <c r="O127" s="95">
        <v>101.33</v>
      </c>
      <c r="P127" s="95">
        <v>100.05</v>
      </c>
      <c r="Q127" s="95">
        <v>100.22</v>
      </c>
      <c r="R127" s="95">
        <v>100.1</v>
      </c>
      <c r="S127" s="95">
        <v>99.89</v>
      </c>
      <c r="T127" s="110"/>
      <c r="U127" s="95">
        <v>102.21</v>
      </c>
      <c r="V127" s="95">
        <v>98.84</v>
      </c>
      <c r="W127" s="95">
        <v>100.28</v>
      </c>
      <c r="X127" s="95">
        <v>100.46</v>
      </c>
      <c r="Y127" s="95">
        <v>99.78</v>
      </c>
      <c r="Z127" s="95">
        <v>99.56</v>
      </c>
      <c r="AA127" s="95">
        <v>100.08</v>
      </c>
    </row>
    <row r="128" spans="3:27" ht="13.8" x14ac:dyDescent="0.25">
      <c r="C128" s="92" t="s">
        <v>2998</v>
      </c>
      <c r="D128" s="93"/>
      <c r="E128" s="95">
        <v>100.12</v>
      </c>
      <c r="F128" s="95">
        <v>100.12</v>
      </c>
      <c r="G128" s="95">
        <v>99.42</v>
      </c>
      <c r="H128" s="95">
        <v>100.08</v>
      </c>
      <c r="I128" s="95">
        <v>100.06</v>
      </c>
      <c r="J128" s="95">
        <v>99.99</v>
      </c>
      <c r="K128" s="95">
        <v>100.66</v>
      </c>
      <c r="L128" s="95">
        <v>100.2</v>
      </c>
      <c r="M128" s="95">
        <v>100.08</v>
      </c>
      <c r="N128" s="95">
        <v>99.47</v>
      </c>
      <c r="O128" s="95">
        <v>101.23</v>
      </c>
      <c r="P128" s="95">
        <v>100.23</v>
      </c>
      <c r="Q128" s="95">
        <v>100.23</v>
      </c>
      <c r="R128" s="95">
        <v>100.2</v>
      </c>
      <c r="S128" s="95">
        <v>99.99</v>
      </c>
      <c r="T128" s="110"/>
      <c r="U128" s="95">
        <v>102.08</v>
      </c>
      <c r="V128" s="95">
        <v>99.03</v>
      </c>
      <c r="W128" s="95">
        <v>100.26</v>
      </c>
      <c r="X128" s="95">
        <v>100.55</v>
      </c>
      <c r="Y128" s="95">
        <v>100.03</v>
      </c>
      <c r="Z128" s="95">
        <v>99.66</v>
      </c>
      <c r="AA128" s="95">
        <v>100.22</v>
      </c>
    </row>
    <row r="129" spans="3:27" ht="13.8" x14ac:dyDescent="0.25">
      <c r="C129" s="92" t="s">
        <v>3001</v>
      </c>
      <c r="D129" s="93"/>
      <c r="E129" s="95">
        <v>100.15</v>
      </c>
      <c r="F129" s="95">
        <v>100.4</v>
      </c>
      <c r="G129" s="95">
        <v>99.55</v>
      </c>
      <c r="H129" s="95">
        <v>100.06</v>
      </c>
      <c r="I129" s="95">
        <v>100.14</v>
      </c>
      <c r="J129" s="95">
        <v>99.93</v>
      </c>
      <c r="K129" s="95">
        <v>100.66</v>
      </c>
      <c r="L129" s="95">
        <v>100.06</v>
      </c>
      <c r="M129" s="95">
        <v>100.33</v>
      </c>
      <c r="N129" s="95">
        <v>99.89</v>
      </c>
      <c r="O129" s="95">
        <v>101.14</v>
      </c>
      <c r="P129" s="95">
        <v>100.41</v>
      </c>
      <c r="Q129" s="95">
        <v>100.26</v>
      </c>
      <c r="R129" s="95">
        <v>100.3</v>
      </c>
      <c r="S129" s="95">
        <v>100.11</v>
      </c>
      <c r="T129" s="110"/>
      <c r="U129" s="95">
        <v>101.9</v>
      </c>
      <c r="V129" s="95">
        <v>99.28</v>
      </c>
      <c r="W129" s="95">
        <v>100.24</v>
      </c>
      <c r="X129" s="95">
        <v>100.58</v>
      </c>
      <c r="Y129" s="95">
        <v>100.26</v>
      </c>
      <c r="Z129" s="95">
        <v>99.79</v>
      </c>
      <c r="AA129" s="95">
        <v>100.38</v>
      </c>
    </row>
    <row r="130" spans="3:27" ht="13.8" x14ac:dyDescent="0.25">
      <c r="C130" s="92" t="s">
        <v>3002</v>
      </c>
      <c r="D130" s="93"/>
      <c r="E130" s="95">
        <v>100.17</v>
      </c>
      <c r="F130" s="95">
        <v>100.63</v>
      </c>
      <c r="G130" s="95">
        <v>99.72</v>
      </c>
      <c r="H130" s="95">
        <v>100.08</v>
      </c>
      <c r="I130" s="95">
        <v>100.19</v>
      </c>
      <c r="J130" s="95">
        <v>99.87</v>
      </c>
      <c r="K130" s="95">
        <v>100.7</v>
      </c>
      <c r="L130" s="95">
        <v>99.99</v>
      </c>
      <c r="M130" s="95">
        <v>100.56</v>
      </c>
      <c r="N130" s="95">
        <v>100.27</v>
      </c>
      <c r="O130" s="95">
        <v>101.09</v>
      </c>
      <c r="P130" s="95">
        <v>100.55</v>
      </c>
      <c r="Q130" s="95">
        <v>100.3</v>
      </c>
      <c r="R130" s="95">
        <v>100.4</v>
      </c>
      <c r="S130" s="95">
        <v>100.23</v>
      </c>
      <c r="T130" s="110"/>
      <c r="U130" s="95">
        <v>101.71</v>
      </c>
      <c r="V130" s="95">
        <v>99.58</v>
      </c>
      <c r="W130" s="95">
        <v>100.21</v>
      </c>
      <c r="X130" s="95">
        <v>100.56</v>
      </c>
      <c r="Y130" s="95">
        <v>100.43</v>
      </c>
      <c r="Z130" s="95">
        <v>99.93</v>
      </c>
      <c r="AA130" s="95">
        <v>100.51</v>
      </c>
    </row>
    <row r="131" spans="3:27" ht="13.8" x14ac:dyDescent="0.25">
      <c r="C131" s="92" t="s">
        <v>3005</v>
      </c>
      <c r="D131" s="93"/>
      <c r="E131" s="95">
        <v>100.2</v>
      </c>
      <c r="F131" s="95">
        <v>100.8</v>
      </c>
      <c r="G131" s="95">
        <v>99.9</v>
      </c>
      <c r="H131" s="95">
        <v>100.15</v>
      </c>
      <c r="I131" s="95">
        <v>100.22</v>
      </c>
      <c r="J131" s="95">
        <v>99.83</v>
      </c>
      <c r="K131" s="95">
        <v>100.79</v>
      </c>
      <c r="L131" s="95">
        <v>99.97</v>
      </c>
      <c r="M131" s="95">
        <v>100.74</v>
      </c>
      <c r="N131" s="95">
        <v>100.54</v>
      </c>
      <c r="O131" s="95">
        <v>101.11</v>
      </c>
      <c r="P131" s="95">
        <v>100.65</v>
      </c>
      <c r="Q131" s="95">
        <v>100.37</v>
      </c>
      <c r="R131" s="95">
        <v>100.47</v>
      </c>
      <c r="S131" s="95">
        <v>100.35</v>
      </c>
      <c r="T131" s="110"/>
      <c r="U131" s="95">
        <v>101.55</v>
      </c>
      <c r="V131" s="95">
        <v>99.88</v>
      </c>
      <c r="W131" s="95">
        <v>100.19</v>
      </c>
      <c r="X131" s="95">
        <v>100.52</v>
      </c>
      <c r="Y131" s="95">
        <v>100.57</v>
      </c>
      <c r="Z131" s="95">
        <v>100.09</v>
      </c>
      <c r="AA131" s="95">
        <v>100.6</v>
      </c>
    </row>
    <row r="132" spans="3:27" ht="13.8" x14ac:dyDescent="0.25">
      <c r="C132" s="92" t="s">
        <v>3022</v>
      </c>
      <c r="D132" s="93"/>
      <c r="E132" s="95">
        <v>100.22</v>
      </c>
      <c r="F132" s="95">
        <v>100.9</v>
      </c>
      <c r="G132" s="95">
        <v>100.09</v>
      </c>
      <c r="H132" s="95">
        <v>100.26</v>
      </c>
      <c r="I132" s="95">
        <v>100.25</v>
      </c>
      <c r="J132" s="95">
        <v>99.8</v>
      </c>
      <c r="K132" s="95">
        <v>100.91</v>
      </c>
      <c r="L132" s="95">
        <v>100</v>
      </c>
      <c r="M132" s="95">
        <v>100.89</v>
      </c>
      <c r="N132" s="95">
        <v>100.72</v>
      </c>
      <c r="O132" s="95">
        <v>101.19</v>
      </c>
      <c r="P132" s="95">
        <v>100.68</v>
      </c>
      <c r="Q132" s="95">
        <v>100.48</v>
      </c>
      <c r="R132" s="95">
        <v>100.53</v>
      </c>
      <c r="S132" s="95">
        <v>100.46</v>
      </c>
      <c r="T132" s="110"/>
      <c r="U132" s="95">
        <v>101.46</v>
      </c>
      <c r="V132" s="95">
        <v>100.18</v>
      </c>
      <c r="W132" s="95">
        <v>100.16</v>
      </c>
      <c r="X132" s="95">
        <v>100.46</v>
      </c>
      <c r="Y132" s="95">
        <v>100.67</v>
      </c>
      <c r="Z132" s="95">
        <v>100.25</v>
      </c>
      <c r="AA132" s="95">
        <v>100.64</v>
      </c>
    </row>
    <row r="133" spans="3:27" ht="13.8" x14ac:dyDescent="0.25">
      <c r="C133" s="92" t="s">
        <v>3023</v>
      </c>
      <c r="D133" s="93"/>
      <c r="E133" s="95">
        <v>100.25</v>
      </c>
      <c r="F133" s="95">
        <v>100.97</v>
      </c>
      <c r="G133" s="95">
        <v>100.26</v>
      </c>
      <c r="H133" s="95">
        <v>100.41</v>
      </c>
      <c r="I133" s="95">
        <v>100.26</v>
      </c>
      <c r="J133" s="95">
        <v>99.78</v>
      </c>
      <c r="K133" s="95">
        <v>101.04</v>
      </c>
      <c r="L133" s="95">
        <v>100</v>
      </c>
      <c r="M133" s="95">
        <v>101</v>
      </c>
      <c r="N133" s="95">
        <v>100.83</v>
      </c>
      <c r="O133" s="95">
        <v>101.29</v>
      </c>
      <c r="P133" s="95">
        <v>100.68</v>
      </c>
      <c r="Q133" s="95">
        <v>100.6</v>
      </c>
      <c r="R133" s="95">
        <v>100.56</v>
      </c>
      <c r="S133" s="95">
        <v>100.56</v>
      </c>
      <c r="T133" s="110"/>
      <c r="U133" s="95">
        <v>101.43</v>
      </c>
      <c r="V133" s="95">
        <v>100.49</v>
      </c>
      <c r="W133" s="95">
        <v>100.1</v>
      </c>
      <c r="X133" s="95">
        <v>100.41</v>
      </c>
      <c r="Y133" s="95">
        <v>100.76</v>
      </c>
      <c r="Z133" s="95">
        <v>100.4</v>
      </c>
      <c r="AA133" s="95">
        <v>100.64</v>
      </c>
    </row>
  </sheetData>
  <mergeCells count="102">
    <mergeCell ref="M100:M101"/>
    <mergeCell ref="S100:S101"/>
    <mergeCell ref="T100:T101"/>
    <mergeCell ref="Z100:Z101"/>
    <mergeCell ref="AA100:AA101"/>
    <mergeCell ref="N100:N101"/>
    <mergeCell ref="O100:O101"/>
    <mergeCell ref="P100:P101"/>
    <mergeCell ref="Q100:Q101"/>
    <mergeCell ref="R100:R101"/>
    <mergeCell ref="C100:D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60:M61"/>
    <mergeCell ref="S60:S61"/>
    <mergeCell ref="T60:T61"/>
    <mergeCell ref="Z60:Z61"/>
    <mergeCell ref="AA60:AA61"/>
    <mergeCell ref="N60:N61"/>
    <mergeCell ref="O60:O61"/>
    <mergeCell ref="P60:P61"/>
    <mergeCell ref="Q60:Q61"/>
    <mergeCell ref="R60:R61"/>
    <mergeCell ref="C60:D61"/>
    <mergeCell ref="E60:E61"/>
    <mergeCell ref="F60:F61"/>
    <mergeCell ref="G60:G61"/>
    <mergeCell ref="H60:H61"/>
    <mergeCell ref="I60:I61"/>
    <mergeCell ref="J60:J61"/>
    <mergeCell ref="K60:K61"/>
    <mergeCell ref="L60:L61"/>
    <mergeCell ref="T39:T40"/>
    <mergeCell ref="Z39:Z40"/>
    <mergeCell ref="AA39:AA40"/>
    <mergeCell ref="H39:H40"/>
    <mergeCell ref="I39:I40"/>
    <mergeCell ref="J39:J40"/>
    <mergeCell ref="K39:K40"/>
    <mergeCell ref="L39:L40"/>
    <mergeCell ref="M39:M40"/>
    <mergeCell ref="N39:N40"/>
    <mergeCell ref="O39:O40"/>
    <mergeCell ref="P39:P40"/>
    <mergeCell ref="Q39:Q40"/>
    <mergeCell ref="G39:G40"/>
    <mergeCell ref="C2:D2"/>
    <mergeCell ref="E2:S2"/>
    <mergeCell ref="C3:D3"/>
    <mergeCell ref="E3:S3"/>
    <mergeCell ref="C4:D4"/>
    <mergeCell ref="E4:S4"/>
    <mergeCell ref="C5:D5"/>
    <mergeCell ref="C18:D18"/>
    <mergeCell ref="E39:E40"/>
    <mergeCell ref="F39:F40"/>
    <mergeCell ref="R39:R40"/>
    <mergeCell ref="S39:S40"/>
    <mergeCell ref="I81:I82"/>
    <mergeCell ref="J81:J82"/>
    <mergeCell ref="K81:K82"/>
    <mergeCell ref="L81:L82"/>
    <mergeCell ref="M81:M82"/>
    <mergeCell ref="C81:D82"/>
    <mergeCell ref="E81:E82"/>
    <mergeCell ref="F81:F82"/>
    <mergeCell ref="G81:G82"/>
    <mergeCell ref="H81:H82"/>
    <mergeCell ref="S81:S82"/>
    <mergeCell ref="T81:T82"/>
    <mergeCell ref="Z81:Z82"/>
    <mergeCell ref="AA81:AA82"/>
    <mergeCell ref="N81:N82"/>
    <mergeCell ref="O81:O82"/>
    <mergeCell ref="P81:P82"/>
    <mergeCell ref="Q81:Q82"/>
    <mergeCell ref="R81:R82"/>
    <mergeCell ref="I121:I122"/>
    <mergeCell ref="J121:J122"/>
    <mergeCell ref="K121:K122"/>
    <mergeCell ref="L121:L122"/>
    <mergeCell ref="M121:M122"/>
    <mergeCell ref="C121:D122"/>
    <mergeCell ref="E121:E122"/>
    <mergeCell ref="F121:F122"/>
    <mergeCell ref="G121:G122"/>
    <mergeCell ref="H121:H122"/>
    <mergeCell ref="S121:S122"/>
    <mergeCell ref="T121:T122"/>
    <mergeCell ref="Z121:Z122"/>
    <mergeCell ref="AA121:AA122"/>
    <mergeCell ref="N121:N122"/>
    <mergeCell ref="O121:O122"/>
    <mergeCell ref="P121:P122"/>
    <mergeCell ref="Q121:Q122"/>
    <mergeCell ref="R121:R122"/>
  </mergeCells>
  <phoneticPr fontId="3" type="noConversion"/>
  <conditionalFormatting sqref="E19:S28">
    <cfRule type="cellIs" dxfId="0" priority="1" operator="greaterThan">
      <formula>0</formula>
    </cfRule>
  </conditionalFormatting>
  <hyperlinks>
    <hyperlink ref="E2" r:id="rId1" display="http://stats.oecd.org/OECDStat_Metadata/ShowMetadata.ashx?Dataset=MEI_CLI&amp;Coords=%5bSUBJECT%5d.%5bLOLITOAA%5d&amp;ShowOnWeb=true&amp;Lang=en" xr:uid="{00000000-0004-0000-0400-000000000000}"/>
  </hyperlinks>
  <pageMargins left="0.75" right="0.75" top="1" bottom="1" header="0.5" footer="0.5"/>
  <pageSetup orientation="portrait" r:id="rId2"/>
  <drawing r:id="rId3"/>
  <legacyDrawing r:id="rId4"/>
  <controls>
    <mc:AlternateContent xmlns:mc="http://schemas.openxmlformats.org/markup-compatibility/2006">
      <mc:Choice Requires="x14">
        <control shapeId="8193" r:id="rId5" name="Control 1">
          <controlPr defaultSize="0" r:id="rId6">
            <anchor moveWithCells="1">
              <from>
                <xdr:col>6</xdr:col>
                <xdr:colOff>563880</xdr:colOff>
                <xdr:row>43</xdr:row>
                <xdr:rowOff>114300</xdr:rowOff>
              </from>
              <to>
                <xdr:col>7</xdr:col>
                <xdr:colOff>144780</xdr:colOff>
                <xdr:row>45</xdr:row>
                <xdr:rowOff>60960</xdr:rowOff>
              </to>
            </anchor>
          </controlPr>
        </control>
      </mc:Choice>
      <mc:Fallback>
        <control shapeId="8193" r:id="rId5" name="Control 1"/>
      </mc:Fallback>
    </mc:AlternateContent>
    <mc:AlternateContent xmlns:mc="http://schemas.openxmlformats.org/markup-compatibility/2006">
      <mc:Choice Requires="x14">
        <control shapeId="8194" r:id="rId7" name="Control 2">
          <controlPr defaultSize="0" r:id="rId8">
            <anchor moveWithCells="1">
              <from>
                <xdr:col>8</xdr:col>
                <xdr:colOff>289560</xdr:colOff>
                <xdr:row>54</xdr:row>
                <xdr:rowOff>114300</xdr:rowOff>
              </from>
              <to>
                <xdr:col>10</xdr:col>
                <xdr:colOff>419100</xdr:colOff>
                <xdr:row>57</xdr:row>
                <xdr:rowOff>0</xdr:rowOff>
              </to>
            </anchor>
          </controlPr>
        </control>
      </mc:Choice>
      <mc:Fallback>
        <control shapeId="8194" r:id="rId7" name="Control 2"/>
      </mc:Fallback>
    </mc:AlternateContent>
    <mc:AlternateContent xmlns:mc="http://schemas.openxmlformats.org/markup-compatibility/2006">
      <mc:Choice Requires="x14">
        <control shapeId="8195" r:id="rId9" name="Control 3">
          <controlPr defaultSize="0" r:id="rId10">
            <anchor moveWithCells="1">
              <from>
                <xdr:col>6</xdr:col>
                <xdr:colOff>563880</xdr:colOff>
                <xdr:row>43</xdr:row>
                <xdr:rowOff>129540</xdr:rowOff>
              </from>
              <to>
                <xdr:col>7</xdr:col>
                <xdr:colOff>144780</xdr:colOff>
                <xdr:row>45</xdr:row>
                <xdr:rowOff>68580</xdr:rowOff>
              </to>
            </anchor>
          </controlPr>
        </control>
      </mc:Choice>
      <mc:Fallback>
        <control shapeId="8195" r:id="rId9" name="Control 3"/>
      </mc:Fallback>
    </mc:AlternateContent>
    <mc:AlternateContent xmlns:mc="http://schemas.openxmlformats.org/markup-compatibility/2006">
      <mc:Choice Requires="x14">
        <control shapeId="8196" r:id="rId11" name="Control 4">
          <controlPr defaultSize="0" r:id="rId12">
            <anchor moveWithCells="1">
              <from>
                <xdr:col>8</xdr:col>
                <xdr:colOff>289560</xdr:colOff>
                <xdr:row>55</xdr:row>
                <xdr:rowOff>0</xdr:rowOff>
              </from>
              <to>
                <xdr:col>10</xdr:col>
                <xdr:colOff>419100</xdr:colOff>
                <xdr:row>57</xdr:row>
                <xdr:rowOff>45720</xdr:rowOff>
              </to>
            </anchor>
          </controlPr>
        </control>
      </mc:Choice>
      <mc:Fallback>
        <control shapeId="8196" r:id="rId11" name="Control 4"/>
      </mc:Fallback>
    </mc:AlternateContent>
    <mc:AlternateContent xmlns:mc="http://schemas.openxmlformats.org/markup-compatibility/2006">
      <mc:Choice Requires="x14">
        <control shapeId="8197" r:id="rId13" name="Control 5">
          <controlPr defaultSize="0" r:id="rId14">
            <anchor moveWithCells="1">
              <from>
                <xdr:col>2</xdr:col>
                <xdr:colOff>1592580</xdr:colOff>
                <xdr:row>62</xdr:row>
                <xdr:rowOff>53340</xdr:rowOff>
              </from>
              <to>
                <xdr:col>2</xdr:col>
                <xdr:colOff>1737360</xdr:colOff>
                <xdr:row>63</xdr:row>
                <xdr:rowOff>30480</xdr:rowOff>
              </to>
            </anchor>
          </controlPr>
        </control>
      </mc:Choice>
      <mc:Fallback>
        <control shapeId="8197" r:id="rId13" name="Control 5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AF104"/>
  <sheetViews>
    <sheetView topLeftCell="A96" zoomScale="115" zoomScaleNormal="115" workbookViewId="0">
      <selection activeCell="F104" sqref="F104"/>
    </sheetView>
  </sheetViews>
  <sheetFormatPr defaultRowHeight="17.399999999999999" x14ac:dyDescent="0.4"/>
  <sheetData>
    <row r="2" spans="4:32" x14ac:dyDescent="0.4">
      <c r="H2" s="111" t="s">
        <v>2972</v>
      </c>
    </row>
    <row r="3" spans="4:32" ht="16.5" customHeight="1" x14ac:dyDescent="0.4">
      <c r="H3" s="193" t="s">
        <v>2956</v>
      </c>
      <c r="I3" s="194"/>
      <c r="J3" s="191" t="s">
        <v>2957</v>
      </c>
      <c r="K3" s="191" t="s">
        <v>2958</v>
      </c>
      <c r="L3" s="191" t="s">
        <v>2959</v>
      </c>
      <c r="M3" s="191" t="s">
        <v>2960</v>
      </c>
      <c r="N3" s="191" t="s">
        <v>2961</v>
      </c>
      <c r="O3" s="191" t="s">
        <v>2962</v>
      </c>
      <c r="P3" s="191" t="s">
        <v>2963</v>
      </c>
      <c r="Q3" s="191" t="s">
        <v>2964</v>
      </c>
      <c r="R3" s="191" t="s">
        <v>2965</v>
      </c>
      <c r="S3" s="191" t="s">
        <v>2966</v>
      </c>
      <c r="T3" s="191" t="s">
        <v>2967</v>
      </c>
      <c r="U3" s="191" t="s">
        <v>2968</v>
      </c>
      <c r="V3" s="191" t="s">
        <v>2969</v>
      </c>
      <c r="W3" s="191" t="s">
        <v>2942</v>
      </c>
      <c r="X3" s="191" t="s">
        <v>2943</v>
      </c>
    </row>
    <row r="4" spans="4:32" x14ac:dyDescent="0.4">
      <c r="H4" s="195"/>
      <c r="I4" s="196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</row>
    <row r="5" spans="4:32" x14ac:dyDescent="0.4">
      <c r="H5" s="108" t="s">
        <v>2971</v>
      </c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</row>
    <row r="6" spans="4:32" x14ac:dyDescent="0.4">
      <c r="H6" s="92" t="s">
        <v>3024</v>
      </c>
      <c r="I6" s="93"/>
      <c r="J6" s="95">
        <v>100.20740000000001</v>
      </c>
      <c r="K6" s="95">
        <v>100.3691</v>
      </c>
      <c r="L6" s="95">
        <v>100.65170000000001</v>
      </c>
      <c r="M6" s="95">
        <v>100.251</v>
      </c>
      <c r="N6" s="95">
        <v>100.2634</v>
      </c>
      <c r="O6" s="95">
        <v>100.24809999999999</v>
      </c>
      <c r="P6" s="95">
        <v>101.40689999999999</v>
      </c>
      <c r="Q6" s="95">
        <v>100.79810000000001</v>
      </c>
      <c r="R6" s="95">
        <v>100.53279999999999</v>
      </c>
      <c r="S6" s="95">
        <v>100.4438</v>
      </c>
      <c r="T6" s="95">
        <v>101.0301</v>
      </c>
      <c r="U6" s="95">
        <v>99.803129999999996</v>
      </c>
      <c r="V6" s="95">
        <v>100.5415</v>
      </c>
      <c r="W6" s="95">
        <v>100.1279</v>
      </c>
      <c r="X6" s="95">
        <v>100.0849</v>
      </c>
      <c r="Y6" t="s">
        <v>2946</v>
      </c>
      <c r="Z6">
        <v>99.483360000000005</v>
      </c>
      <c r="AA6">
        <v>100.5376</v>
      </c>
      <c r="AB6">
        <v>98.301569999999998</v>
      </c>
      <c r="AC6">
        <v>99.954800000000006</v>
      </c>
      <c r="AD6">
        <v>99.635319999999993</v>
      </c>
      <c r="AE6">
        <v>100.039</v>
      </c>
      <c r="AF6">
        <v>99.949010000000001</v>
      </c>
    </row>
    <row r="7" spans="4:32" x14ac:dyDescent="0.4">
      <c r="H7" s="92" t="s">
        <v>3025</v>
      </c>
      <c r="I7" s="93"/>
      <c r="J7" s="95">
        <v>100.22709999999999</v>
      </c>
      <c r="K7" s="95">
        <v>100.4725</v>
      </c>
      <c r="L7" s="95">
        <v>100.79819999999999</v>
      </c>
      <c r="M7" s="95">
        <v>100.4216</v>
      </c>
      <c r="N7" s="95">
        <v>100.3595</v>
      </c>
      <c r="O7" s="95">
        <v>100.32559999999999</v>
      </c>
      <c r="P7" s="95">
        <v>101.5368</v>
      </c>
      <c r="Q7" s="95">
        <v>100.9353</v>
      </c>
      <c r="R7" s="95">
        <v>100.62860000000001</v>
      </c>
      <c r="S7" s="95">
        <v>100.6705</v>
      </c>
      <c r="T7" s="95">
        <v>101.1086</v>
      </c>
      <c r="U7" s="95">
        <v>99.883960000000002</v>
      </c>
      <c r="V7" s="95">
        <v>100.6704</v>
      </c>
      <c r="W7" s="95">
        <v>100.22490000000001</v>
      </c>
      <c r="X7" s="95">
        <v>100.17310000000001</v>
      </c>
      <c r="Y7" t="s">
        <v>2946</v>
      </c>
      <c r="Z7">
        <v>99.559380000000004</v>
      </c>
      <c r="AA7">
        <v>100.5989</v>
      </c>
      <c r="AB7">
        <v>98.352500000000006</v>
      </c>
      <c r="AC7">
        <v>100.1152</v>
      </c>
      <c r="AD7">
        <v>99.562070000000006</v>
      </c>
      <c r="AE7">
        <v>100.1117</v>
      </c>
      <c r="AF7">
        <v>100.03749999999999</v>
      </c>
    </row>
    <row r="8" spans="4:32" x14ac:dyDescent="0.4">
      <c r="H8" s="92" t="s">
        <v>3026</v>
      </c>
      <c r="I8" s="93"/>
      <c r="J8" s="95">
        <v>100.24420000000001</v>
      </c>
      <c r="K8" s="95">
        <v>100.5333</v>
      </c>
      <c r="L8" s="95">
        <v>100.9294</v>
      </c>
      <c r="M8" s="95">
        <v>100.5958</v>
      </c>
      <c r="N8" s="95">
        <v>100.44889999999999</v>
      </c>
      <c r="O8" s="95">
        <v>100.413</v>
      </c>
      <c r="P8" s="95">
        <v>101.63</v>
      </c>
      <c r="Q8" s="95">
        <v>101.1584</v>
      </c>
      <c r="R8" s="95">
        <v>100.75149999999999</v>
      </c>
      <c r="S8" s="95">
        <v>100.962</v>
      </c>
      <c r="T8" s="95">
        <v>101.15260000000001</v>
      </c>
      <c r="U8" s="95">
        <v>99.923400000000001</v>
      </c>
      <c r="V8" s="95">
        <v>100.78749999999999</v>
      </c>
      <c r="W8" s="95">
        <v>100.297</v>
      </c>
      <c r="X8" s="95">
        <v>100.2525</v>
      </c>
      <c r="Y8" t="s">
        <v>2946</v>
      </c>
      <c r="Z8">
        <v>99.641589999999994</v>
      </c>
      <c r="AA8">
        <v>100.63500000000001</v>
      </c>
      <c r="AB8">
        <v>98.454909999999998</v>
      </c>
      <c r="AC8">
        <v>100.2916</v>
      </c>
      <c r="AD8">
        <v>99.47757</v>
      </c>
      <c r="AE8">
        <v>100.18300000000001</v>
      </c>
      <c r="AF8">
        <v>100.09820000000001</v>
      </c>
    </row>
    <row r="9" spans="4:32" x14ac:dyDescent="0.4">
      <c r="H9" s="92" t="s">
        <v>3027</v>
      </c>
      <c r="I9" s="93"/>
      <c r="J9" s="95">
        <v>100.26179999999999</v>
      </c>
      <c r="K9" s="95">
        <v>100.56959999999999</v>
      </c>
      <c r="L9" s="95">
        <v>101.0505</v>
      </c>
      <c r="M9" s="95">
        <v>100.7638</v>
      </c>
      <c r="N9" s="95">
        <v>100.5378</v>
      </c>
      <c r="O9" s="95">
        <v>100.49769999999999</v>
      </c>
      <c r="P9" s="95">
        <v>101.6721</v>
      </c>
      <c r="Q9" s="95">
        <v>101.4507</v>
      </c>
      <c r="R9" s="95">
        <v>100.90260000000001</v>
      </c>
      <c r="S9" s="95">
        <v>101.2907</v>
      </c>
      <c r="T9" s="95">
        <v>101.1521</v>
      </c>
      <c r="U9" s="95">
        <v>99.93674</v>
      </c>
      <c r="V9" s="95">
        <v>100.8897</v>
      </c>
      <c r="W9" s="95">
        <v>100.34990000000001</v>
      </c>
      <c r="X9" s="95">
        <v>100.32680000000001</v>
      </c>
      <c r="Y9" t="s">
        <v>2946</v>
      </c>
      <c r="Z9">
        <v>99.734830000000002</v>
      </c>
      <c r="AA9">
        <v>100.6575</v>
      </c>
      <c r="AB9">
        <v>98.60239</v>
      </c>
      <c r="AC9">
        <v>100.47790000000001</v>
      </c>
      <c r="AD9">
        <v>99.425719999999998</v>
      </c>
      <c r="AE9">
        <v>100.2546</v>
      </c>
      <c r="AF9">
        <v>100.143</v>
      </c>
    </row>
    <row r="10" spans="4:32" x14ac:dyDescent="0.4">
      <c r="H10" s="92" t="s">
        <v>3028</v>
      </c>
      <c r="I10" s="93"/>
      <c r="J10" s="95">
        <v>100.2684</v>
      </c>
      <c r="K10" s="95">
        <v>100.5964</v>
      </c>
      <c r="L10" s="95">
        <v>101.15519999999999</v>
      </c>
      <c r="M10" s="95">
        <v>100.91240000000001</v>
      </c>
      <c r="N10" s="95">
        <v>100.6478</v>
      </c>
      <c r="O10" s="95">
        <v>100.56480000000001</v>
      </c>
      <c r="P10" s="95">
        <v>101.66240000000001</v>
      </c>
      <c r="Q10" s="95">
        <v>101.6652</v>
      </c>
      <c r="R10" s="95">
        <v>101.0787</v>
      </c>
      <c r="S10" s="95">
        <v>101.6861</v>
      </c>
      <c r="T10" s="95">
        <v>101.1561</v>
      </c>
      <c r="U10" s="95">
        <v>99.944379999999995</v>
      </c>
      <c r="V10" s="95">
        <v>100.9867</v>
      </c>
      <c r="W10" s="95">
        <v>100.3955</v>
      </c>
      <c r="X10" s="95">
        <v>100.4007</v>
      </c>
      <c r="Y10" t="s">
        <v>2946</v>
      </c>
      <c r="Z10">
        <v>99.864850000000004</v>
      </c>
      <c r="AA10">
        <v>100.6798</v>
      </c>
      <c r="AB10">
        <v>98.787180000000006</v>
      </c>
      <c r="AC10">
        <v>100.6494</v>
      </c>
      <c r="AD10">
        <v>99.445530000000005</v>
      </c>
      <c r="AE10">
        <v>100.3276</v>
      </c>
      <c r="AF10">
        <v>100.1742</v>
      </c>
    </row>
    <row r="11" spans="4:32" x14ac:dyDescent="0.4">
      <c r="H11" s="92" t="s">
        <v>3029</v>
      </c>
      <c r="I11" s="93"/>
      <c r="J11" s="95">
        <v>100.25920000000001</v>
      </c>
      <c r="K11" s="95">
        <v>100.6224</v>
      </c>
      <c r="L11" s="95">
        <v>101.2349</v>
      </c>
      <c r="M11" s="95">
        <v>101.05159999999999</v>
      </c>
      <c r="N11" s="95">
        <v>100.792</v>
      </c>
      <c r="O11" s="95">
        <v>100.6116</v>
      </c>
      <c r="P11" s="95">
        <v>101.6105</v>
      </c>
      <c r="Q11" s="95">
        <v>101.83110000000001</v>
      </c>
      <c r="R11" s="95">
        <v>101.2739</v>
      </c>
      <c r="S11" s="95">
        <v>102.1621</v>
      </c>
      <c r="T11" s="95">
        <v>101.14570000000001</v>
      </c>
      <c r="U11" s="95">
        <v>99.962029999999999</v>
      </c>
      <c r="V11" s="95">
        <v>101.078</v>
      </c>
      <c r="W11" s="95">
        <v>100.4413</v>
      </c>
      <c r="X11" s="95">
        <v>100.48050000000001</v>
      </c>
      <c r="Y11" t="s">
        <v>2946</v>
      </c>
      <c r="Z11">
        <v>100.056</v>
      </c>
      <c r="AA11">
        <v>100.70829999999999</v>
      </c>
      <c r="AB11">
        <v>99.0017</v>
      </c>
      <c r="AC11">
        <v>100.7876</v>
      </c>
      <c r="AD11">
        <v>99.542850000000001</v>
      </c>
      <c r="AE11">
        <v>100.4024</v>
      </c>
      <c r="AF11">
        <v>100.20829999999999</v>
      </c>
    </row>
    <row r="12" spans="4:32" x14ac:dyDescent="0.4">
      <c r="H12" s="92" t="s">
        <v>3030</v>
      </c>
      <c r="I12" s="93"/>
      <c r="J12" s="95">
        <v>100.2204</v>
      </c>
      <c r="K12" s="95">
        <v>100.657</v>
      </c>
      <c r="L12" s="95">
        <v>101.2921</v>
      </c>
      <c r="M12" s="95">
        <v>101.1794</v>
      </c>
      <c r="N12" s="95">
        <v>100.9872</v>
      </c>
      <c r="O12" s="95">
        <v>100.6349</v>
      </c>
      <c r="P12" s="95">
        <v>101.5137</v>
      </c>
      <c r="Q12" s="95">
        <v>101.9516</v>
      </c>
      <c r="R12" s="95">
        <v>101.4897</v>
      </c>
      <c r="S12" s="95">
        <v>102.6652</v>
      </c>
      <c r="T12" s="95">
        <v>101.1118</v>
      </c>
      <c r="U12" s="95">
        <v>99.995909999999995</v>
      </c>
      <c r="V12" s="95">
        <v>101.1647</v>
      </c>
      <c r="W12" s="95">
        <v>100.491</v>
      </c>
      <c r="X12" s="95">
        <v>100.56489999999999</v>
      </c>
      <c r="Y12" t="s">
        <v>2946</v>
      </c>
      <c r="Z12">
        <v>100.3496</v>
      </c>
      <c r="AA12">
        <v>100.73560000000001</v>
      </c>
      <c r="AB12">
        <v>99.237989999999996</v>
      </c>
      <c r="AC12">
        <v>100.89019999999999</v>
      </c>
      <c r="AD12">
        <v>99.707710000000006</v>
      </c>
      <c r="AE12">
        <v>100.4727</v>
      </c>
      <c r="AF12">
        <v>100.25149999999999</v>
      </c>
    </row>
    <row r="13" spans="4:32" x14ac:dyDescent="0.4">
      <c r="H13" s="92" t="s">
        <v>3031</v>
      </c>
      <c r="I13" s="93"/>
      <c r="J13" s="95">
        <v>100.158</v>
      </c>
      <c r="K13" s="95">
        <v>100.709</v>
      </c>
      <c r="L13" s="95">
        <v>101.3381</v>
      </c>
      <c r="M13" s="95">
        <v>101.29219999999999</v>
      </c>
      <c r="N13" s="95">
        <v>101.223</v>
      </c>
      <c r="O13" s="95">
        <v>100.6397</v>
      </c>
      <c r="P13" s="95">
        <v>101.38160000000001</v>
      </c>
      <c r="Q13" s="95">
        <v>102.0022</v>
      </c>
      <c r="R13" s="95">
        <v>101.72369999999999</v>
      </c>
      <c r="S13" s="95">
        <v>103.0879</v>
      </c>
      <c r="T13" s="95">
        <v>101.04989999999999</v>
      </c>
      <c r="U13" s="95">
        <v>100.071</v>
      </c>
      <c r="V13" s="95">
        <v>101.245</v>
      </c>
      <c r="W13" s="95">
        <v>100.55719999999999</v>
      </c>
      <c r="X13" s="95">
        <v>100.6515</v>
      </c>
      <c r="Y13" t="s">
        <v>2946</v>
      </c>
      <c r="Z13">
        <v>100.7431</v>
      </c>
      <c r="AA13">
        <v>100.7483</v>
      </c>
      <c r="AB13">
        <v>99.487819999999999</v>
      </c>
      <c r="AC13">
        <v>100.9251</v>
      </c>
      <c r="AD13">
        <v>99.911360000000002</v>
      </c>
      <c r="AE13">
        <v>100.5288</v>
      </c>
      <c r="AF13">
        <v>100.3223</v>
      </c>
    </row>
    <row r="14" spans="4:32" x14ac:dyDescent="0.4">
      <c r="H14" s="92" t="s">
        <v>3032</v>
      </c>
      <c r="I14" s="93"/>
      <c r="J14" s="95">
        <v>100.0806</v>
      </c>
      <c r="K14" s="95">
        <v>100.7629</v>
      </c>
      <c r="L14" s="95">
        <v>101.3792</v>
      </c>
      <c r="M14" s="95">
        <v>101.3896</v>
      </c>
      <c r="N14" s="95">
        <v>101.45180000000001</v>
      </c>
      <c r="O14" s="95">
        <v>100.6375</v>
      </c>
      <c r="P14" s="95">
        <v>101.2236</v>
      </c>
      <c r="Q14" s="95">
        <v>102.0022</v>
      </c>
      <c r="R14" s="95">
        <v>101.96120000000001</v>
      </c>
      <c r="S14" s="95">
        <v>103.3484</v>
      </c>
      <c r="T14" s="95">
        <v>100.9632</v>
      </c>
      <c r="U14" s="95">
        <v>100.1785</v>
      </c>
      <c r="V14" s="95">
        <v>101.31189999999999</v>
      </c>
      <c r="W14" s="95">
        <v>100.63420000000001</v>
      </c>
      <c r="X14" s="95">
        <v>100.73009999999999</v>
      </c>
      <c r="Y14" t="s">
        <v>2946</v>
      </c>
      <c r="Z14">
        <v>101.19459999999999</v>
      </c>
      <c r="AA14">
        <v>100.7337</v>
      </c>
      <c r="AB14">
        <v>99.743369999999999</v>
      </c>
      <c r="AC14">
        <v>100.883</v>
      </c>
      <c r="AD14">
        <v>100.1241</v>
      </c>
      <c r="AE14">
        <v>100.5638</v>
      </c>
      <c r="AF14">
        <v>100.4143</v>
      </c>
    </row>
    <row r="15" spans="4:32" x14ac:dyDescent="0.4">
      <c r="H15" s="92" t="s">
        <v>3033</v>
      </c>
      <c r="I15" s="93"/>
      <c r="J15" s="95">
        <v>99.987459999999999</v>
      </c>
      <c r="K15" s="95">
        <v>100.80889999999999</v>
      </c>
      <c r="L15" s="95">
        <v>101.40479999999999</v>
      </c>
      <c r="M15" s="95">
        <v>101.4658</v>
      </c>
      <c r="N15" s="95">
        <v>101.6465</v>
      </c>
      <c r="O15" s="95">
        <v>100.6348</v>
      </c>
      <c r="P15" s="95">
        <v>101.04649999999999</v>
      </c>
      <c r="Q15" s="95">
        <v>101.99039999999999</v>
      </c>
      <c r="R15" s="95">
        <v>102.172</v>
      </c>
      <c r="S15" s="95">
        <v>103.41379999999999</v>
      </c>
      <c r="T15" s="95">
        <v>100.8329</v>
      </c>
      <c r="U15" s="95">
        <v>100.3066</v>
      </c>
      <c r="V15" s="95">
        <v>101.351</v>
      </c>
      <c r="W15" s="95">
        <v>100.712</v>
      </c>
      <c r="X15" s="95">
        <v>100.7929</v>
      </c>
      <c r="Y15" t="s">
        <v>2946</v>
      </c>
      <c r="Z15">
        <v>101.6438</v>
      </c>
      <c r="AA15">
        <v>100.687</v>
      </c>
      <c r="AB15">
        <v>99.997799999999998</v>
      </c>
      <c r="AC15">
        <v>100.7872</v>
      </c>
      <c r="AD15">
        <v>100.3224</v>
      </c>
      <c r="AE15">
        <v>100.57689999999999</v>
      </c>
      <c r="AF15">
        <v>100.5214</v>
      </c>
    </row>
    <row r="16" spans="4:32" x14ac:dyDescent="0.4">
      <c r="D16" t="s">
        <v>3109</v>
      </c>
      <c r="E16" t="s">
        <v>3109</v>
      </c>
      <c r="F16" t="s">
        <v>3110</v>
      </c>
      <c r="G16" t="s">
        <v>3111</v>
      </c>
      <c r="H16" s="92" t="s">
        <v>3034</v>
      </c>
      <c r="I16" s="93"/>
      <c r="J16" s="95">
        <v>99.870549999999994</v>
      </c>
      <c r="K16" s="95">
        <v>100.82850000000001</v>
      </c>
      <c r="L16" s="95">
        <v>101.4064</v>
      </c>
      <c r="M16" s="95">
        <v>101.5099</v>
      </c>
      <c r="N16" s="95">
        <v>101.78279999999999</v>
      </c>
      <c r="O16" s="95">
        <v>100.6347</v>
      </c>
      <c r="P16" s="95">
        <v>100.8459</v>
      </c>
      <c r="Q16" s="95">
        <v>101.9935</v>
      </c>
      <c r="R16" s="95">
        <v>102.3297</v>
      </c>
      <c r="S16" s="95">
        <v>103.3193</v>
      </c>
      <c r="T16" s="95">
        <v>100.6781</v>
      </c>
      <c r="U16" s="95">
        <v>100.43729999999999</v>
      </c>
      <c r="V16" s="95">
        <v>101.3566</v>
      </c>
      <c r="W16" s="95">
        <v>100.7794</v>
      </c>
      <c r="X16" s="95">
        <v>100.8338</v>
      </c>
      <c r="Y16" t="s">
        <v>2946</v>
      </c>
      <c r="Z16">
        <v>102.0325</v>
      </c>
      <c r="AA16">
        <v>100.60769999999999</v>
      </c>
      <c r="AB16">
        <v>100.2448</v>
      </c>
      <c r="AC16">
        <v>100.6656</v>
      </c>
      <c r="AD16">
        <v>100.4812</v>
      </c>
      <c r="AE16">
        <v>100.56870000000001</v>
      </c>
      <c r="AF16">
        <v>100.63039999999999</v>
      </c>
    </row>
    <row r="17" spans="1:32" x14ac:dyDescent="0.4">
      <c r="B17" s="112" t="str">
        <f>W3</f>
        <v>G7</v>
      </c>
      <c r="C17" s="112" t="str">
        <f>X3</f>
        <v>G20</v>
      </c>
      <c r="D17" s="112" t="s">
        <v>2973</v>
      </c>
      <c r="E17" s="112" t="s">
        <v>2974</v>
      </c>
      <c r="F17" s="112" t="s">
        <v>2973</v>
      </c>
      <c r="G17" s="112" t="s">
        <v>2974</v>
      </c>
      <c r="H17" s="92" t="s">
        <v>3035</v>
      </c>
      <c r="I17" s="93"/>
      <c r="J17" s="95">
        <v>99.729550000000003</v>
      </c>
      <c r="K17" s="95">
        <v>100.7954</v>
      </c>
      <c r="L17" s="95">
        <v>101.37649999999999</v>
      </c>
      <c r="M17" s="95">
        <v>101.5153</v>
      </c>
      <c r="N17" s="95">
        <v>101.83669999999999</v>
      </c>
      <c r="O17" s="95">
        <v>100.6279</v>
      </c>
      <c r="P17" s="95">
        <v>100.6437</v>
      </c>
      <c r="Q17" s="95">
        <v>101.98099999999999</v>
      </c>
      <c r="R17" s="95">
        <v>102.4165</v>
      </c>
      <c r="S17" s="95">
        <v>103.1074</v>
      </c>
      <c r="T17" s="95">
        <v>100.526</v>
      </c>
      <c r="U17" s="95">
        <v>100.5664</v>
      </c>
      <c r="V17" s="95">
        <v>101.3263</v>
      </c>
      <c r="W17" s="95">
        <v>100.83110000000001</v>
      </c>
      <c r="X17" s="95">
        <v>100.8503</v>
      </c>
      <c r="Y17" t="s">
        <v>2946</v>
      </c>
      <c r="Z17">
        <v>102.337</v>
      </c>
      <c r="AA17">
        <v>100.49930000000001</v>
      </c>
      <c r="AB17">
        <v>100.47799999999999</v>
      </c>
      <c r="AC17">
        <v>100.5224</v>
      </c>
      <c r="AD17">
        <v>100.58159999999999</v>
      </c>
      <c r="AE17">
        <v>100.54</v>
      </c>
      <c r="AF17">
        <v>100.7324</v>
      </c>
    </row>
    <row r="18" spans="1:32" x14ac:dyDescent="0.4">
      <c r="A18" s="92" t="str">
        <f t="shared" ref="A18:A50" si="0">H18</f>
        <v>2018-Jan</v>
      </c>
      <c r="B18" s="113">
        <f t="shared" ref="B18:C47" si="1">W18/W6-1</f>
        <v>7.358588365480534E-3</v>
      </c>
      <c r="C18" s="113">
        <f t="shared" si="1"/>
        <v>7.600547135482083E-3</v>
      </c>
      <c r="D18" s="113">
        <f>U18/U6-1</f>
        <v>8.928277099125026E-3</v>
      </c>
      <c r="E18" s="113">
        <f>P18/P6-1</f>
        <v>-9.2547942990072185E-3</v>
      </c>
      <c r="F18" s="113">
        <f>U18/U17-1</f>
        <v>1.2708021764724631E-3</v>
      </c>
      <c r="G18" s="113">
        <f>P18/P17-1</f>
        <v>-1.7417881099363042E-3</v>
      </c>
      <c r="H18" s="92" t="s">
        <v>3036</v>
      </c>
      <c r="I18" s="93"/>
      <c r="J18" s="95">
        <v>99.600610000000003</v>
      </c>
      <c r="K18" s="95">
        <v>100.6953</v>
      </c>
      <c r="L18" s="95">
        <v>101.3047</v>
      </c>
      <c r="M18" s="95">
        <v>101.47369999999999</v>
      </c>
      <c r="N18" s="95">
        <v>101.7942</v>
      </c>
      <c r="O18" s="95">
        <v>100.6147</v>
      </c>
      <c r="P18" s="95">
        <v>100.4684</v>
      </c>
      <c r="Q18" s="95">
        <v>101.9084</v>
      </c>
      <c r="R18" s="95">
        <v>102.4254</v>
      </c>
      <c r="S18" s="95">
        <v>102.81610000000001</v>
      </c>
      <c r="T18" s="95">
        <v>100.38509999999999</v>
      </c>
      <c r="U18" s="95">
        <v>100.6942</v>
      </c>
      <c r="V18" s="95">
        <v>101.2542</v>
      </c>
      <c r="W18" s="95">
        <v>100.8647</v>
      </c>
      <c r="X18" s="95">
        <v>100.8456</v>
      </c>
      <c r="Y18" t="s">
        <v>2946</v>
      </c>
      <c r="Z18">
        <v>102.5505</v>
      </c>
      <c r="AA18">
        <v>100.3796</v>
      </c>
      <c r="AB18">
        <v>100.6921</v>
      </c>
      <c r="AC18">
        <v>100.35769999999999</v>
      </c>
      <c r="AD18">
        <v>100.6301</v>
      </c>
      <c r="AE18">
        <v>100.5004</v>
      </c>
      <c r="AF18">
        <v>100.8219</v>
      </c>
    </row>
    <row r="19" spans="1:32" x14ac:dyDescent="0.4">
      <c r="A19" s="92" t="str">
        <f t="shared" si="0"/>
        <v>2018-Feb</v>
      </c>
      <c r="B19" s="113">
        <f t="shared" si="1"/>
        <v>6.5572527385908685E-3</v>
      </c>
      <c r="C19" s="113">
        <f t="shared" si="1"/>
        <v>6.4558249669821599E-3</v>
      </c>
      <c r="D19" s="113">
        <f t="shared" ref="D19:D50" si="2">U19/U7-1</f>
        <v>9.2661524432950948E-3</v>
      </c>
      <c r="E19" s="113">
        <f t="shared" ref="E19:E50" si="3">P19/P7-1</f>
        <v>-1.1900118971643669E-2</v>
      </c>
      <c r="F19" s="113">
        <f t="shared" ref="F19:F82" si="4">U19/U18-1</f>
        <v>1.145051055572166E-3</v>
      </c>
      <c r="G19" s="113">
        <f t="shared" ref="G19:G82" si="5">P19/P18-1</f>
        <v>-1.3924776347588042E-3</v>
      </c>
      <c r="H19" s="92" t="s">
        <v>3037</v>
      </c>
      <c r="I19" s="93"/>
      <c r="J19" s="95">
        <v>99.513369999999995</v>
      </c>
      <c r="K19" s="95">
        <v>100.557</v>
      </c>
      <c r="L19" s="95">
        <v>101.1936</v>
      </c>
      <c r="M19" s="95">
        <v>101.39449999999999</v>
      </c>
      <c r="N19" s="95">
        <v>101.6871</v>
      </c>
      <c r="O19" s="95">
        <v>100.6147</v>
      </c>
      <c r="P19" s="95">
        <v>100.32850000000001</v>
      </c>
      <c r="Q19" s="95">
        <v>101.8008</v>
      </c>
      <c r="R19" s="95">
        <v>102.35680000000001</v>
      </c>
      <c r="S19" s="95">
        <v>102.3843</v>
      </c>
      <c r="T19" s="95">
        <v>100.2615</v>
      </c>
      <c r="U19" s="95">
        <v>100.8095</v>
      </c>
      <c r="V19" s="95">
        <v>101.15179999999999</v>
      </c>
      <c r="W19" s="95">
        <v>100.88209999999999</v>
      </c>
      <c r="X19" s="95">
        <v>100.8198</v>
      </c>
      <c r="Y19" t="s">
        <v>2946</v>
      </c>
      <c r="Z19">
        <v>102.64919999999999</v>
      </c>
      <c r="AA19">
        <v>100.2531</v>
      </c>
      <c r="AB19">
        <v>100.8822</v>
      </c>
      <c r="AC19">
        <v>100.1639</v>
      </c>
      <c r="AD19">
        <v>100.622</v>
      </c>
      <c r="AE19">
        <v>100.45440000000001</v>
      </c>
      <c r="AF19">
        <v>100.89490000000001</v>
      </c>
    </row>
    <row r="20" spans="1:32" x14ac:dyDescent="0.4">
      <c r="A20" s="92" t="str">
        <f t="shared" si="0"/>
        <v>2018-Mar</v>
      </c>
      <c r="B20" s="113">
        <f t="shared" si="1"/>
        <v>5.7210086044447994E-3</v>
      </c>
      <c r="C20" s="113">
        <f t="shared" si="1"/>
        <v>5.1290491508939606E-3</v>
      </c>
      <c r="D20" s="113">
        <f t="shared" si="2"/>
        <v>9.5763354729723194E-3</v>
      </c>
      <c r="E20" s="113">
        <f t="shared" si="3"/>
        <v>-1.3987995670569742E-2</v>
      </c>
      <c r="F20" s="113">
        <f t="shared" si="4"/>
        <v>7.0231476200155463E-4</v>
      </c>
      <c r="G20" s="113">
        <f t="shared" si="5"/>
        <v>-1.197067632826232E-3</v>
      </c>
      <c r="H20" s="92" t="s">
        <v>3038</v>
      </c>
      <c r="I20" s="93"/>
      <c r="J20" s="95">
        <v>99.493679999999998</v>
      </c>
      <c r="K20" s="95">
        <v>100.41500000000001</v>
      </c>
      <c r="L20" s="95">
        <v>101.0634</v>
      </c>
      <c r="M20" s="95">
        <v>101.2854</v>
      </c>
      <c r="N20" s="95">
        <v>101.5384</v>
      </c>
      <c r="O20" s="95">
        <v>100.6116</v>
      </c>
      <c r="P20" s="95">
        <v>100.2084</v>
      </c>
      <c r="Q20" s="95">
        <v>101.69159999999999</v>
      </c>
      <c r="R20" s="95">
        <v>102.2413</v>
      </c>
      <c r="S20" s="95">
        <v>101.7598</v>
      </c>
      <c r="T20" s="95">
        <v>100.1564</v>
      </c>
      <c r="U20" s="95">
        <v>100.88030000000001</v>
      </c>
      <c r="V20" s="95">
        <v>101.0311</v>
      </c>
      <c r="W20" s="95">
        <v>100.8708</v>
      </c>
      <c r="X20" s="95">
        <v>100.7667</v>
      </c>
      <c r="Y20" t="s">
        <v>2946</v>
      </c>
      <c r="Z20">
        <v>102.6172</v>
      </c>
      <c r="AA20">
        <v>100.12139999999999</v>
      </c>
      <c r="AB20">
        <v>101.0449</v>
      </c>
      <c r="AC20">
        <v>99.9559</v>
      </c>
      <c r="AD20">
        <v>100.5672</v>
      </c>
      <c r="AE20">
        <v>100.3995</v>
      </c>
      <c r="AF20">
        <v>100.93089999999999</v>
      </c>
    </row>
    <row r="21" spans="1:32" x14ac:dyDescent="0.4">
      <c r="A21" s="92" t="str">
        <f t="shared" si="0"/>
        <v>2018-Apr</v>
      </c>
      <c r="B21" s="113">
        <f t="shared" si="1"/>
        <v>4.8171448103087045E-3</v>
      </c>
      <c r="C21" s="113">
        <f t="shared" si="1"/>
        <v>3.5783060956793289E-3</v>
      </c>
      <c r="D21" s="113">
        <f t="shared" si="2"/>
        <v>9.644701238003206E-3</v>
      </c>
      <c r="E21" s="113">
        <f t="shared" si="3"/>
        <v>-1.5419175958793052E-2</v>
      </c>
      <c r="F21" s="113">
        <f t="shared" si="4"/>
        <v>2.0122858476812056E-4</v>
      </c>
      <c r="G21" s="113">
        <f t="shared" si="5"/>
        <v>-1.0378371473848125E-3</v>
      </c>
      <c r="H21" s="92" t="s">
        <v>3039</v>
      </c>
      <c r="I21" s="93"/>
      <c r="J21" s="95">
        <v>99.523690000000002</v>
      </c>
      <c r="K21" s="95">
        <v>100.2851</v>
      </c>
      <c r="L21" s="95">
        <v>100.91800000000001</v>
      </c>
      <c r="M21" s="95">
        <v>101.16500000000001</v>
      </c>
      <c r="N21" s="95">
        <v>101.3595</v>
      </c>
      <c r="O21" s="95">
        <v>100.6202</v>
      </c>
      <c r="P21" s="95">
        <v>100.1044</v>
      </c>
      <c r="Q21" s="95">
        <v>101.6074</v>
      </c>
      <c r="R21" s="95">
        <v>102.1172</v>
      </c>
      <c r="S21" s="95">
        <v>100.9299</v>
      </c>
      <c r="T21" s="95">
        <v>100.06310000000001</v>
      </c>
      <c r="U21" s="95">
        <v>100.9006</v>
      </c>
      <c r="V21" s="95">
        <v>100.8999</v>
      </c>
      <c r="W21" s="95">
        <v>100.83329999999999</v>
      </c>
      <c r="X21" s="95">
        <v>100.6858</v>
      </c>
      <c r="Y21" t="s">
        <v>2946</v>
      </c>
      <c r="Z21">
        <v>102.461</v>
      </c>
      <c r="AA21">
        <v>99.974090000000004</v>
      </c>
      <c r="AB21">
        <v>101.1768</v>
      </c>
      <c r="AC21">
        <v>99.752369999999999</v>
      </c>
      <c r="AD21">
        <v>100.488</v>
      </c>
      <c r="AE21">
        <v>100.3326</v>
      </c>
      <c r="AF21">
        <v>100.929</v>
      </c>
    </row>
    <row r="22" spans="1:32" x14ac:dyDescent="0.4">
      <c r="A22" s="92" t="str">
        <f t="shared" si="0"/>
        <v>2018-May</v>
      </c>
      <c r="B22" s="113">
        <f t="shared" si="1"/>
        <v>3.773077478572251E-3</v>
      </c>
      <c r="C22" s="113">
        <f t="shared" si="1"/>
        <v>1.7878361405847532E-3</v>
      </c>
      <c r="D22" s="113">
        <f t="shared" si="2"/>
        <v>9.3814179446609636E-3</v>
      </c>
      <c r="E22" s="113">
        <f t="shared" si="3"/>
        <v>-1.6304946568249434E-2</v>
      </c>
      <c r="F22" s="131">
        <f t="shared" si="4"/>
        <v>-1.8433983544197119E-4</v>
      </c>
      <c r="G22" s="131">
        <f t="shared" si="5"/>
        <v>-9.9496126044407163E-4</v>
      </c>
      <c r="H22" s="92" t="s">
        <v>3040</v>
      </c>
      <c r="I22" s="93"/>
      <c r="J22" s="95">
        <v>99.582149999999999</v>
      </c>
      <c r="K22" s="95">
        <v>100.17529999999999</v>
      </c>
      <c r="L22" s="95">
        <v>100.7458</v>
      </c>
      <c r="M22" s="95">
        <v>101.0514</v>
      </c>
      <c r="N22" s="95">
        <v>101.1618</v>
      </c>
      <c r="O22" s="95">
        <v>100.631</v>
      </c>
      <c r="P22" s="95">
        <v>100.0048</v>
      </c>
      <c r="Q22" s="95">
        <v>101.62690000000001</v>
      </c>
      <c r="R22" s="95">
        <v>101.9954</v>
      </c>
      <c r="S22" s="95">
        <v>99.915520000000001</v>
      </c>
      <c r="T22" s="95">
        <v>99.957520000000002</v>
      </c>
      <c r="U22" s="95">
        <v>100.88200000000001</v>
      </c>
      <c r="V22" s="95">
        <v>100.7582</v>
      </c>
      <c r="W22" s="95">
        <v>100.7743</v>
      </c>
      <c r="X22" s="95">
        <v>100.5802</v>
      </c>
      <c r="Y22" t="s">
        <v>2946</v>
      </c>
      <c r="Z22">
        <v>102.2201</v>
      </c>
      <c r="AA22">
        <v>99.797780000000003</v>
      </c>
      <c r="AB22">
        <v>101.27379999999999</v>
      </c>
      <c r="AC22">
        <v>99.563969999999998</v>
      </c>
      <c r="AD22">
        <v>100.4114</v>
      </c>
      <c r="AE22">
        <v>100.24469999999999</v>
      </c>
      <c r="AF22">
        <v>100.90770000000001</v>
      </c>
    </row>
    <row r="23" spans="1:32" x14ac:dyDescent="0.4">
      <c r="A23" s="92" t="str">
        <f t="shared" si="0"/>
        <v>2018-Jun</v>
      </c>
      <c r="B23" s="113">
        <f t="shared" si="1"/>
        <v>2.5009632491812539E-3</v>
      </c>
      <c r="C23" s="113">
        <f t="shared" si="1"/>
        <v>-2.8960843148673199E-4</v>
      </c>
      <c r="D23" s="113">
        <f t="shared" si="2"/>
        <v>8.7230121277048767E-3</v>
      </c>
      <c r="E23" s="113">
        <f t="shared" si="3"/>
        <v>-1.688093258078649E-2</v>
      </c>
      <c r="F23" s="131">
        <f t="shared" si="4"/>
        <v>-4.7580341388953062E-4</v>
      </c>
      <c r="G23" s="131">
        <f t="shared" si="5"/>
        <v>-1.0957474041246584E-3</v>
      </c>
      <c r="H23" s="92" t="s">
        <v>3041</v>
      </c>
      <c r="I23" s="93"/>
      <c r="J23" s="95">
        <v>99.634280000000004</v>
      </c>
      <c r="K23" s="95">
        <v>100.06270000000001</v>
      </c>
      <c r="L23" s="95">
        <v>100.53570000000001</v>
      </c>
      <c r="M23" s="95">
        <v>100.95189999999999</v>
      </c>
      <c r="N23" s="95">
        <v>100.9659</v>
      </c>
      <c r="O23" s="95">
        <v>100.6264</v>
      </c>
      <c r="P23" s="95">
        <v>99.895219999999995</v>
      </c>
      <c r="Q23" s="95">
        <v>101.7646</v>
      </c>
      <c r="R23" s="95">
        <v>101.87520000000001</v>
      </c>
      <c r="S23" s="95">
        <v>98.762739999999994</v>
      </c>
      <c r="T23" s="95">
        <v>99.789249999999996</v>
      </c>
      <c r="U23" s="95">
        <v>100.834</v>
      </c>
      <c r="V23" s="95">
        <v>100.59829999999999</v>
      </c>
      <c r="W23" s="95">
        <v>100.6925</v>
      </c>
      <c r="X23" s="95">
        <v>100.45140000000001</v>
      </c>
      <c r="Y23" t="s">
        <v>2946</v>
      </c>
      <c r="Z23">
        <v>101.9592</v>
      </c>
      <c r="AA23">
        <v>99.587490000000003</v>
      </c>
      <c r="AB23">
        <v>101.33369999999999</v>
      </c>
      <c r="AC23">
        <v>99.39931</v>
      </c>
      <c r="AD23">
        <v>100.3331</v>
      </c>
      <c r="AE23">
        <v>100.13039999999999</v>
      </c>
      <c r="AF23">
        <v>100.87439999999999</v>
      </c>
    </row>
    <row r="24" spans="1:32" x14ac:dyDescent="0.4">
      <c r="A24" s="92" t="str">
        <f t="shared" si="0"/>
        <v>2018-Jul</v>
      </c>
      <c r="B24" s="113">
        <f t="shared" si="1"/>
        <v>9.5729965867596967E-4</v>
      </c>
      <c r="C24" s="113">
        <f t="shared" si="1"/>
        <v>-2.5973276958460856E-3</v>
      </c>
      <c r="D24" s="113">
        <f t="shared" si="2"/>
        <v>7.6292120347722925E-3</v>
      </c>
      <c r="E24" s="113">
        <f t="shared" si="3"/>
        <v>-1.7061145441452652E-2</v>
      </c>
      <c r="F24" s="131">
        <f t="shared" si="4"/>
        <v>-7.4578019318893851E-4</v>
      </c>
      <c r="G24" s="131">
        <f t="shared" si="5"/>
        <v>-1.1357900808466326E-3</v>
      </c>
      <c r="H24" s="92" t="s">
        <v>3042</v>
      </c>
      <c r="I24" s="93"/>
      <c r="J24" s="95">
        <v>99.649410000000003</v>
      </c>
      <c r="K24" s="95">
        <v>99.919200000000004</v>
      </c>
      <c r="L24" s="95">
        <v>100.2805</v>
      </c>
      <c r="M24" s="95">
        <v>100.87309999999999</v>
      </c>
      <c r="N24" s="95">
        <v>100.7696</v>
      </c>
      <c r="O24" s="95">
        <v>100.61</v>
      </c>
      <c r="P24" s="95">
        <v>99.781760000000006</v>
      </c>
      <c r="Q24" s="95">
        <v>101.93899999999999</v>
      </c>
      <c r="R24" s="95">
        <v>101.7544</v>
      </c>
      <c r="S24" s="95">
        <v>97.531899999999993</v>
      </c>
      <c r="T24" s="95">
        <v>99.543180000000007</v>
      </c>
      <c r="U24" s="95">
        <v>100.75879999999999</v>
      </c>
      <c r="V24" s="95">
        <v>100.4166</v>
      </c>
      <c r="W24" s="95">
        <v>100.5872</v>
      </c>
      <c r="X24" s="95">
        <v>100.30370000000001</v>
      </c>
      <c r="Y24" t="s">
        <v>2946</v>
      </c>
      <c r="Z24">
        <v>101.749</v>
      </c>
      <c r="AA24">
        <v>99.356020000000001</v>
      </c>
      <c r="AB24">
        <v>101.35590000000001</v>
      </c>
      <c r="AC24">
        <v>99.269949999999994</v>
      </c>
      <c r="AD24">
        <v>100.24299999999999</v>
      </c>
      <c r="AE24">
        <v>99.997839999999997</v>
      </c>
      <c r="AF24">
        <v>100.82040000000001</v>
      </c>
    </row>
    <row r="25" spans="1:32" x14ac:dyDescent="0.4">
      <c r="A25" s="92" t="str">
        <f t="shared" si="0"/>
        <v>2018-Aug</v>
      </c>
      <c r="B25" s="113">
        <f t="shared" si="1"/>
        <v>-9.7556415651978146E-4</v>
      </c>
      <c r="C25" s="113">
        <f t="shared" si="1"/>
        <v>-5.046124498889637E-3</v>
      </c>
      <c r="D25" s="113">
        <f t="shared" si="2"/>
        <v>5.8658352569675998E-3</v>
      </c>
      <c r="E25" s="113">
        <f t="shared" si="3"/>
        <v>-1.6854734981495811E-2</v>
      </c>
      <c r="F25" s="131">
        <f t="shared" si="4"/>
        <v>-1.0004088972873637E-3</v>
      </c>
      <c r="G25" s="131">
        <f t="shared" si="5"/>
        <v>-1.0915822691442978E-3</v>
      </c>
      <c r="H25" s="92" t="s">
        <v>3043</v>
      </c>
      <c r="I25" s="93"/>
      <c r="J25" s="95">
        <v>99.614419999999996</v>
      </c>
      <c r="K25" s="95">
        <v>99.734909999999999</v>
      </c>
      <c r="L25" s="95">
        <v>99.991489999999999</v>
      </c>
      <c r="M25" s="95">
        <v>100.794</v>
      </c>
      <c r="N25" s="95">
        <v>100.5835</v>
      </c>
      <c r="O25" s="95">
        <v>100.5881</v>
      </c>
      <c r="P25" s="95">
        <v>99.672839999999994</v>
      </c>
      <c r="Q25" s="95">
        <v>102.0548</v>
      </c>
      <c r="R25" s="95">
        <v>101.6527</v>
      </c>
      <c r="S25" s="95">
        <v>96.341139999999996</v>
      </c>
      <c r="T25" s="95">
        <v>99.224230000000006</v>
      </c>
      <c r="U25" s="95">
        <v>100.658</v>
      </c>
      <c r="V25" s="95">
        <v>100.2118</v>
      </c>
      <c r="W25" s="95">
        <v>100.45910000000001</v>
      </c>
      <c r="X25" s="95">
        <v>100.14360000000001</v>
      </c>
      <c r="Y25" t="s">
        <v>2946</v>
      </c>
      <c r="Z25">
        <v>101.6217</v>
      </c>
      <c r="AA25">
        <v>99.122730000000004</v>
      </c>
      <c r="AB25">
        <v>101.3426</v>
      </c>
      <c r="AC25">
        <v>99.169259999999994</v>
      </c>
      <c r="AD25">
        <v>100.13760000000001</v>
      </c>
      <c r="AE25">
        <v>99.858180000000004</v>
      </c>
      <c r="AF25">
        <v>100.7362</v>
      </c>
    </row>
    <row r="26" spans="1:32" x14ac:dyDescent="0.4">
      <c r="A26" s="92" t="str">
        <f t="shared" si="0"/>
        <v>2018-Sep</v>
      </c>
      <c r="B26" s="113">
        <f t="shared" si="1"/>
        <v>-3.2951024601974854E-3</v>
      </c>
      <c r="C26" s="113">
        <f t="shared" si="1"/>
        <v>-7.4613248671449028E-3</v>
      </c>
      <c r="D26" s="113">
        <f t="shared" si="2"/>
        <v>3.3669899229875622E-3</v>
      </c>
      <c r="E26" s="113">
        <f t="shared" si="3"/>
        <v>-1.6378986718512345E-2</v>
      </c>
      <c r="F26" s="131">
        <f t="shared" si="4"/>
        <v>-1.4127044050150639E-3</v>
      </c>
      <c r="G26" s="131">
        <f t="shared" si="5"/>
        <v>-1.075318010402837E-3</v>
      </c>
      <c r="H26" s="92" t="s">
        <v>3044</v>
      </c>
      <c r="I26" s="93"/>
      <c r="J26" s="95">
        <v>99.540520000000001</v>
      </c>
      <c r="K26" s="95">
        <v>99.506190000000004</v>
      </c>
      <c r="L26" s="95">
        <v>99.707769999999996</v>
      </c>
      <c r="M26" s="95">
        <v>100.69289999999999</v>
      </c>
      <c r="N26" s="95">
        <v>100.4113</v>
      </c>
      <c r="O26" s="95">
        <v>100.56059999999999</v>
      </c>
      <c r="P26" s="95">
        <v>99.565659999999994</v>
      </c>
      <c r="Q26" s="95">
        <v>102.0468</v>
      </c>
      <c r="R26" s="95">
        <v>101.59520000000001</v>
      </c>
      <c r="S26" s="95">
        <v>95.423450000000003</v>
      </c>
      <c r="T26" s="95">
        <v>98.852869999999996</v>
      </c>
      <c r="U26" s="95">
        <v>100.5158</v>
      </c>
      <c r="V26" s="95">
        <v>99.99118</v>
      </c>
      <c r="W26" s="95">
        <v>100.3026</v>
      </c>
      <c r="X26" s="95">
        <v>99.978520000000003</v>
      </c>
      <c r="Y26" t="s">
        <v>2946</v>
      </c>
      <c r="Z26">
        <v>101.59399999999999</v>
      </c>
      <c r="AA26">
        <v>98.903899999999993</v>
      </c>
      <c r="AB26">
        <v>101.2968</v>
      </c>
      <c r="AC26">
        <v>99.121830000000003</v>
      </c>
      <c r="AD26">
        <v>100.0189</v>
      </c>
      <c r="AE26">
        <v>99.722239999999999</v>
      </c>
      <c r="AF26">
        <v>100.60169999999999</v>
      </c>
    </row>
    <row r="27" spans="1:32" x14ac:dyDescent="0.4">
      <c r="A27" s="92" t="str">
        <f t="shared" si="0"/>
        <v>2018-Oct</v>
      </c>
      <c r="B27" s="113">
        <f t="shared" si="1"/>
        <v>-5.8711970768131616E-3</v>
      </c>
      <c r="C27" s="113">
        <f t="shared" si="1"/>
        <v>-9.6852060016132668E-3</v>
      </c>
      <c r="D27" s="130">
        <f t="shared" si="2"/>
        <v>2.1135199478394817E-4</v>
      </c>
      <c r="E27" s="113">
        <f t="shared" si="3"/>
        <v>-1.5701187077236556E-2</v>
      </c>
      <c r="F27" s="131">
        <f t="shared" si="4"/>
        <v>-1.8703527206668236E-3</v>
      </c>
      <c r="G27" s="131">
        <f t="shared" si="5"/>
        <v>-1.0617114374573688E-3</v>
      </c>
      <c r="H27" s="92" t="s">
        <v>3045</v>
      </c>
      <c r="I27" s="93"/>
      <c r="J27" s="95">
        <v>99.452749999999995</v>
      </c>
      <c r="K27" s="95">
        <v>99.248019999999997</v>
      </c>
      <c r="L27" s="95">
        <v>99.479200000000006</v>
      </c>
      <c r="M27" s="95">
        <v>100.5532</v>
      </c>
      <c r="N27" s="95">
        <v>100.2475</v>
      </c>
      <c r="O27" s="95">
        <v>100.51519999999999</v>
      </c>
      <c r="P27" s="95">
        <v>99.459950000000006</v>
      </c>
      <c r="Q27" s="95">
        <v>101.87220000000001</v>
      </c>
      <c r="R27" s="95">
        <v>101.5954</v>
      </c>
      <c r="S27" s="95">
        <v>94.946799999999996</v>
      </c>
      <c r="T27" s="95">
        <v>98.489189999999994</v>
      </c>
      <c r="U27" s="95">
        <v>100.3278</v>
      </c>
      <c r="V27" s="95">
        <v>99.773579999999995</v>
      </c>
      <c r="W27" s="95">
        <v>100.1207</v>
      </c>
      <c r="X27" s="95">
        <v>99.816699999999997</v>
      </c>
      <c r="Y27" t="s">
        <v>2946</v>
      </c>
      <c r="Z27">
        <v>101.6883</v>
      </c>
      <c r="AA27">
        <v>98.701639999999998</v>
      </c>
      <c r="AB27">
        <v>101.2243</v>
      </c>
      <c r="AC27">
        <v>99.159610000000001</v>
      </c>
      <c r="AD27">
        <v>99.890450000000001</v>
      </c>
      <c r="AE27">
        <v>99.593059999999994</v>
      </c>
      <c r="AF27">
        <v>100.40989999999999</v>
      </c>
    </row>
    <row r="28" spans="1:32" x14ac:dyDescent="0.4">
      <c r="A28" s="92" t="str">
        <f t="shared" si="0"/>
        <v>2018-Nov</v>
      </c>
      <c r="B28" s="113">
        <f t="shared" si="1"/>
        <v>-8.4660158722913437E-3</v>
      </c>
      <c r="C28" s="113">
        <f t="shared" si="1"/>
        <v>-1.152867391688106E-2</v>
      </c>
      <c r="D28" s="130">
        <f t="shared" si="2"/>
        <v>-3.2458060899684948E-3</v>
      </c>
      <c r="E28" s="113">
        <f t="shared" si="3"/>
        <v>-1.462131826876456E-2</v>
      </c>
      <c r="F28" s="131">
        <f t="shared" si="4"/>
        <v>-2.1579263175310892E-3</v>
      </c>
      <c r="G28" s="131">
        <f t="shared" si="5"/>
        <v>-8.9030810894241696E-4</v>
      </c>
      <c r="H28" s="92" t="s">
        <v>3046</v>
      </c>
      <c r="I28" s="93"/>
      <c r="J28" s="95">
        <v>99.387079999999997</v>
      </c>
      <c r="K28" s="95">
        <v>98.980189999999993</v>
      </c>
      <c r="L28" s="95">
        <v>99.319490000000002</v>
      </c>
      <c r="M28" s="95">
        <v>100.38420000000001</v>
      </c>
      <c r="N28" s="95">
        <v>100.0873</v>
      </c>
      <c r="O28" s="95">
        <v>100.44629999999999</v>
      </c>
      <c r="P28" s="95">
        <v>99.371399999999994</v>
      </c>
      <c r="Q28" s="95">
        <v>101.6309</v>
      </c>
      <c r="R28" s="95">
        <v>101.6373</v>
      </c>
      <c r="S28" s="95">
        <v>94.917209999999997</v>
      </c>
      <c r="T28" s="95">
        <v>98.162940000000006</v>
      </c>
      <c r="U28" s="95">
        <v>100.1113</v>
      </c>
      <c r="V28" s="95">
        <v>99.571380000000005</v>
      </c>
      <c r="W28" s="95">
        <v>99.926199999999994</v>
      </c>
      <c r="X28" s="95">
        <v>99.671319999999994</v>
      </c>
      <c r="Y28" t="s">
        <v>2946</v>
      </c>
      <c r="Z28">
        <v>101.8715</v>
      </c>
      <c r="AA28">
        <v>98.529319999999998</v>
      </c>
      <c r="AB28">
        <v>101.1314</v>
      </c>
      <c r="AC28">
        <v>99.289150000000006</v>
      </c>
      <c r="AD28">
        <v>99.761489999999995</v>
      </c>
      <c r="AE28">
        <v>99.479489999999998</v>
      </c>
      <c r="AF28">
        <v>100.187</v>
      </c>
    </row>
    <row r="29" spans="1:32" x14ac:dyDescent="0.4">
      <c r="A29" s="92" t="str">
        <f t="shared" si="0"/>
        <v>2018-Dec</v>
      </c>
      <c r="B29" s="113">
        <f t="shared" si="1"/>
        <v>-1.0870753170400871E-2</v>
      </c>
      <c r="C29" s="113">
        <f t="shared" si="1"/>
        <v>-1.2900407832202809E-2</v>
      </c>
      <c r="D29" s="130">
        <f t="shared" si="2"/>
        <v>-6.7357487192541976E-3</v>
      </c>
      <c r="E29" s="113">
        <f t="shared" si="3"/>
        <v>-1.3224474060472668E-2</v>
      </c>
      <c r="F29" s="131">
        <f t="shared" si="4"/>
        <v>-2.2204286628981773E-3</v>
      </c>
      <c r="G29" s="131">
        <f t="shared" si="5"/>
        <v>-5.9031069301618277E-4</v>
      </c>
      <c r="H29" s="92" t="s">
        <v>3047</v>
      </c>
      <c r="I29" s="93"/>
      <c r="J29" s="95">
        <v>99.377200000000002</v>
      </c>
      <c r="K29" s="95">
        <v>98.731589999999997</v>
      </c>
      <c r="L29" s="95">
        <v>99.246870000000001</v>
      </c>
      <c r="M29" s="95">
        <v>100.1816</v>
      </c>
      <c r="N29" s="95">
        <v>99.923829999999995</v>
      </c>
      <c r="O29" s="95">
        <v>100.3578</v>
      </c>
      <c r="P29" s="95">
        <v>99.312740000000005</v>
      </c>
      <c r="Q29" s="95">
        <v>101.41970000000001</v>
      </c>
      <c r="R29" s="95">
        <v>101.6942</v>
      </c>
      <c r="S29" s="95">
        <v>95.133359999999996</v>
      </c>
      <c r="T29" s="95">
        <v>97.905270000000002</v>
      </c>
      <c r="U29" s="95">
        <v>99.889009999999999</v>
      </c>
      <c r="V29" s="95">
        <v>99.393360000000001</v>
      </c>
      <c r="W29" s="95">
        <v>99.734989999999996</v>
      </c>
      <c r="X29" s="95">
        <v>99.549289999999999</v>
      </c>
      <c r="Y29" t="s">
        <v>2946</v>
      </c>
      <c r="Z29">
        <v>102.0822</v>
      </c>
      <c r="AA29">
        <v>98.404640000000001</v>
      </c>
      <c r="AB29">
        <v>101.02330000000001</v>
      </c>
      <c r="AC29">
        <v>99.464519999999993</v>
      </c>
      <c r="AD29">
        <v>99.641239999999996</v>
      </c>
      <c r="AE29">
        <v>99.389539999999997</v>
      </c>
      <c r="AF29">
        <v>99.963890000000006</v>
      </c>
    </row>
    <row r="30" spans="1:32" x14ac:dyDescent="0.4">
      <c r="A30" s="92" t="str">
        <f t="shared" si="0"/>
        <v>2019-Jan</v>
      </c>
      <c r="B30" s="113">
        <f t="shared" si="1"/>
        <v>-1.2871896709156005E-2</v>
      </c>
      <c r="C30" s="113">
        <f t="shared" si="1"/>
        <v>-1.374388173604002E-2</v>
      </c>
      <c r="D30" s="130">
        <f t="shared" si="2"/>
        <v>-1.0045762317988483E-2</v>
      </c>
      <c r="E30" s="113">
        <f t="shared" si="3"/>
        <v>-1.1934697875152778E-2</v>
      </c>
      <c r="F30" s="113">
        <f t="shared" si="4"/>
        <v>-2.0658929345681587E-3</v>
      </c>
      <c r="G30" s="113">
        <f t="shared" si="5"/>
        <v>-4.3700334921792372E-4</v>
      </c>
      <c r="H30" s="92" t="s">
        <v>3048</v>
      </c>
      <c r="I30" s="93"/>
      <c r="J30" s="95">
        <v>99.426900000000003</v>
      </c>
      <c r="K30" s="95">
        <v>98.541730000000001</v>
      </c>
      <c r="L30" s="95">
        <v>99.279300000000006</v>
      </c>
      <c r="M30" s="95">
        <v>99.958879999999994</v>
      </c>
      <c r="N30" s="95">
        <v>99.748890000000003</v>
      </c>
      <c r="O30" s="95">
        <v>100.2681</v>
      </c>
      <c r="P30" s="95">
        <v>99.26934</v>
      </c>
      <c r="Q30" s="95">
        <v>101.26560000000001</v>
      </c>
      <c r="R30" s="95">
        <v>101.74930000000001</v>
      </c>
      <c r="S30" s="95">
        <v>95.463660000000004</v>
      </c>
      <c r="T30" s="95">
        <v>97.742320000000007</v>
      </c>
      <c r="U30" s="95">
        <v>99.682649999999995</v>
      </c>
      <c r="V30" s="95">
        <v>99.252780000000001</v>
      </c>
      <c r="W30" s="95">
        <v>99.566379999999995</v>
      </c>
      <c r="X30" s="95">
        <v>99.459590000000006</v>
      </c>
      <c r="Y30" t="s">
        <v>2946</v>
      </c>
      <c r="Z30">
        <v>102.2684</v>
      </c>
      <c r="AA30">
        <v>98.352069999999998</v>
      </c>
      <c r="AB30">
        <v>100.9046</v>
      </c>
      <c r="AC30">
        <v>99.634730000000005</v>
      </c>
      <c r="AD30">
        <v>99.541579999999996</v>
      </c>
      <c r="AE30">
        <v>99.33475</v>
      </c>
      <c r="AF30">
        <v>99.764269999999996</v>
      </c>
    </row>
    <row r="31" spans="1:32" x14ac:dyDescent="0.4">
      <c r="A31" s="92" t="str">
        <f t="shared" si="0"/>
        <v>2019-Feb</v>
      </c>
      <c r="B31" s="113">
        <f t="shared" si="1"/>
        <v>-1.4379161417139352E-2</v>
      </c>
      <c r="C31" s="113">
        <f t="shared" si="1"/>
        <v>-1.4054183801197717E-2</v>
      </c>
      <c r="D31" s="130">
        <f t="shared" si="2"/>
        <v>-1.2897990764759282E-2</v>
      </c>
      <c r="E31" s="113">
        <f t="shared" si="3"/>
        <v>-1.0957703942548802E-2</v>
      </c>
      <c r="F31" s="113">
        <f t="shared" si="4"/>
        <v>-1.7394200495270962E-3</v>
      </c>
      <c r="G31" s="113">
        <f t="shared" si="5"/>
        <v>-4.0505960853576273E-4</v>
      </c>
      <c r="H31" s="92" t="s">
        <v>3049</v>
      </c>
      <c r="I31" s="93"/>
      <c r="J31" s="95">
        <v>99.527370000000005</v>
      </c>
      <c r="K31" s="95">
        <v>98.404200000000003</v>
      </c>
      <c r="L31" s="95">
        <v>99.375829999999993</v>
      </c>
      <c r="M31" s="95">
        <v>99.734110000000001</v>
      </c>
      <c r="N31" s="95">
        <v>99.59102</v>
      </c>
      <c r="O31" s="95">
        <v>100.1915</v>
      </c>
      <c r="P31" s="95">
        <v>99.229129999999998</v>
      </c>
      <c r="Q31" s="95">
        <v>101.09869999999999</v>
      </c>
      <c r="R31" s="95">
        <v>101.7756</v>
      </c>
      <c r="S31" s="95">
        <v>95.839820000000003</v>
      </c>
      <c r="T31" s="95">
        <v>97.677019999999999</v>
      </c>
      <c r="U31" s="95">
        <v>99.509259999999998</v>
      </c>
      <c r="V31" s="95">
        <v>99.153450000000007</v>
      </c>
      <c r="W31" s="95">
        <v>99.4315</v>
      </c>
      <c r="X31" s="95">
        <v>99.402860000000004</v>
      </c>
      <c r="Y31" t="s">
        <v>2946</v>
      </c>
      <c r="Z31">
        <v>102.3759</v>
      </c>
      <c r="AA31">
        <v>98.373900000000006</v>
      </c>
      <c r="AB31">
        <v>100.7791</v>
      </c>
      <c r="AC31">
        <v>99.774540000000002</v>
      </c>
      <c r="AD31">
        <v>99.46275</v>
      </c>
      <c r="AE31">
        <v>99.317639999999997</v>
      </c>
      <c r="AF31">
        <v>99.594250000000002</v>
      </c>
    </row>
    <row r="32" spans="1:32" x14ac:dyDescent="0.4">
      <c r="A32" s="92" t="str">
        <f t="shared" si="0"/>
        <v>2019-Mar</v>
      </c>
      <c r="B32" s="113">
        <f t="shared" si="1"/>
        <v>-1.5325842562961767E-2</v>
      </c>
      <c r="C32" s="113">
        <f t="shared" si="1"/>
        <v>-1.3890203807408574E-2</v>
      </c>
      <c r="D32" s="130">
        <f t="shared" si="2"/>
        <v>-1.4991331310473921E-2</v>
      </c>
      <c r="E32" s="113">
        <f t="shared" si="3"/>
        <v>-1.0400625097297223E-2</v>
      </c>
      <c r="F32" s="113">
        <f t="shared" si="4"/>
        <v>-1.4198678595338521E-3</v>
      </c>
      <c r="G32" s="113">
        <f t="shared" si="5"/>
        <v>-6.3449110155455735E-4</v>
      </c>
      <c r="H32" s="92" t="s">
        <v>3050</v>
      </c>
      <c r="I32" s="93"/>
      <c r="J32" s="95">
        <v>99.658529999999999</v>
      </c>
      <c r="K32" s="95">
        <v>98.308459999999997</v>
      </c>
      <c r="L32" s="95">
        <v>99.492350000000002</v>
      </c>
      <c r="M32" s="95">
        <v>99.508780000000002</v>
      </c>
      <c r="N32" s="95">
        <v>99.473399999999998</v>
      </c>
      <c r="O32" s="95">
        <v>100.1267</v>
      </c>
      <c r="P32" s="95">
        <v>99.166169999999994</v>
      </c>
      <c r="Q32" s="95">
        <v>100.90049999999999</v>
      </c>
      <c r="R32" s="95">
        <v>101.7585</v>
      </c>
      <c r="S32" s="95">
        <v>96.202579999999998</v>
      </c>
      <c r="T32" s="95">
        <v>97.674160000000001</v>
      </c>
      <c r="U32" s="95">
        <v>99.36797</v>
      </c>
      <c r="V32" s="95">
        <v>99.081230000000005</v>
      </c>
      <c r="W32" s="95">
        <v>99.324870000000004</v>
      </c>
      <c r="X32" s="95">
        <v>99.36703</v>
      </c>
      <c r="Y32" t="s">
        <v>2946</v>
      </c>
      <c r="Z32">
        <v>102.40519999999999</v>
      </c>
      <c r="AA32">
        <v>98.447209999999998</v>
      </c>
      <c r="AB32">
        <v>100.64870000000001</v>
      </c>
      <c r="AC32">
        <v>99.8947</v>
      </c>
      <c r="AD32">
        <v>99.399019999999993</v>
      </c>
      <c r="AE32">
        <v>99.325410000000005</v>
      </c>
      <c r="AF32">
        <v>99.450429999999997</v>
      </c>
    </row>
    <row r="33" spans="1:32" x14ac:dyDescent="0.4">
      <c r="A33" s="92" t="str">
        <f t="shared" si="0"/>
        <v>2019-Apr</v>
      </c>
      <c r="B33" s="113">
        <f t="shared" si="1"/>
        <v>-1.5924005264133845E-2</v>
      </c>
      <c r="C33" s="113">
        <f t="shared" si="1"/>
        <v>-1.3417085626771574E-2</v>
      </c>
      <c r="D33" s="113">
        <f t="shared" si="2"/>
        <v>-1.6489000065410875E-2</v>
      </c>
      <c r="E33" s="113">
        <f t="shared" si="3"/>
        <v>-1.0320924954347666E-2</v>
      </c>
      <c r="F33" s="113">
        <f t="shared" si="4"/>
        <v>-1.3195398879537468E-3</v>
      </c>
      <c r="G33" s="113">
        <f t="shared" si="5"/>
        <v>-9.5738294622038644E-4</v>
      </c>
      <c r="H33" s="92" t="s">
        <v>3051</v>
      </c>
      <c r="I33" s="93"/>
      <c r="J33" s="95">
        <v>99.803610000000006</v>
      </c>
      <c r="K33" s="95">
        <v>98.229839999999996</v>
      </c>
      <c r="L33" s="95">
        <v>99.593919999999997</v>
      </c>
      <c r="M33" s="95">
        <v>99.283550000000005</v>
      </c>
      <c r="N33" s="95">
        <v>99.396640000000005</v>
      </c>
      <c r="O33" s="95">
        <v>100.0626</v>
      </c>
      <c r="P33" s="95">
        <v>99.07123</v>
      </c>
      <c r="Q33" s="95">
        <v>100.6875</v>
      </c>
      <c r="R33" s="95">
        <v>101.684</v>
      </c>
      <c r="S33" s="95">
        <v>96.516729999999995</v>
      </c>
      <c r="T33" s="95">
        <v>97.697010000000006</v>
      </c>
      <c r="U33" s="95">
        <v>99.236850000000004</v>
      </c>
      <c r="V33" s="95">
        <v>99.019589999999994</v>
      </c>
      <c r="W33" s="95">
        <v>99.227630000000005</v>
      </c>
      <c r="X33" s="95">
        <v>99.334890000000001</v>
      </c>
      <c r="Y33" t="s">
        <v>2946</v>
      </c>
      <c r="Z33">
        <v>102.4097</v>
      </c>
      <c r="AA33">
        <v>98.534360000000007</v>
      </c>
      <c r="AB33">
        <v>100.5142</v>
      </c>
      <c r="AC33">
        <v>100.00069999999999</v>
      </c>
      <c r="AD33">
        <v>99.341409999999996</v>
      </c>
      <c r="AE33">
        <v>99.336870000000005</v>
      </c>
      <c r="AF33">
        <v>99.314689999999999</v>
      </c>
    </row>
    <row r="34" spans="1:32" x14ac:dyDescent="0.4">
      <c r="A34" s="92" t="str">
        <f t="shared" si="0"/>
        <v>2019-May</v>
      </c>
      <c r="B34" s="113">
        <f t="shared" si="1"/>
        <v>-1.6269227372454953E-2</v>
      </c>
      <c r="C34" s="113">
        <f t="shared" si="1"/>
        <v>-1.2757580517835598E-2</v>
      </c>
      <c r="D34" s="113">
        <f t="shared" si="2"/>
        <v>-1.7509664756844678E-2</v>
      </c>
      <c r="E34" s="113">
        <f t="shared" si="3"/>
        <v>-1.0364402508679538E-2</v>
      </c>
      <c r="F34" s="113">
        <f t="shared" si="4"/>
        <v>-1.2219251215652704E-3</v>
      </c>
      <c r="G34" s="113">
        <f t="shared" si="5"/>
        <v>-1.0388485133372427E-3</v>
      </c>
      <c r="H34" s="92" t="s">
        <v>3052</v>
      </c>
      <c r="I34" s="93"/>
      <c r="J34" s="95">
        <v>99.94614</v>
      </c>
      <c r="K34" s="95">
        <v>98.158839999999998</v>
      </c>
      <c r="L34" s="95">
        <v>99.6751</v>
      </c>
      <c r="M34" s="95">
        <v>99.0565</v>
      </c>
      <c r="N34" s="95">
        <v>99.340339999999998</v>
      </c>
      <c r="O34" s="95">
        <v>99.995130000000003</v>
      </c>
      <c r="P34" s="95">
        <v>98.968310000000002</v>
      </c>
      <c r="Q34" s="95">
        <v>100.3443</v>
      </c>
      <c r="R34" s="95">
        <v>101.5654</v>
      </c>
      <c r="S34" s="95">
        <v>96.791499999999999</v>
      </c>
      <c r="T34" s="95">
        <v>97.720609999999994</v>
      </c>
      <c r="U34" s="95">
        <v>99.115589999999997</v>
      </c>
      <c r="V34" s="95">
        <v>98.956729999999993</v>
      </c>
      <c r="W34" s="95">
        <v>99.134780000000006</v>
      </c>
      <c r="X34" s="95">
        <v>99.297039999999996</v>
      </c>
      <c r="Y34" t="s">
        <v>2946</v>
      </c>
      <c r="Z34">
        <v>102.4357</v>
      </c>
      <c r="AA34">
        <v>98.609219999999993</v>
      </c>
      <c r="AB34">
        <v>100.3775</v>
      </c>
      <c r="AC34">
        <v>100.1054</v>
      </c>
      <c r="AD34">
        <v>99.285970000000006</v>
      </c>
      <c r="AE34">
        <v>99.340419999999995</v>
      </c>
      <c r="AF34">
        <v>99.173959999999994</v>
      </c>
    </row>
    <row r="35" spans="1:32" x14ac:dyDescent="0.4">
      <c r="A35" s="92" t="str">
        <f t="shared" si="0"/>
        <v>2019-Jun</v>
      </c>
      <c r="B35" s="113">
        <f t="shared" si="1"/>
        <v>-1.6362291133897755E-2</v>
      </c>
      <c r="C35" s="113">
        <f t="shared" si="1"/>
        <v>-1.187738548193451E-2</v>
      </c>
      <c r="D35" s="113">
        <f t="shared" si="2"/>
        <v>-1.8086359759604931E-2</v>
      </c>
      <c r="E35" s="113">
        <f t="shared" si="3"/>
        <v>-1.021129939951082E-2</v>
      </c>
      <c r="F35" s="113">
        <f t="shared" si="4"/>
        <v>-1.0624968281982561E-3</v>
      </c>
      <c r="G35" s="113">
        <f t="shared" si="5"/>
        <v>-9.4121037330041624E-4</v>
      </c>
      <c r="H35" s="92" t="s">
        <v>3053</v>
      </c>
      <c r="I35" s="93"/>
      <c r="J35" s="95">
        <v>100.0556</v>
      </c>
      <c r="K35" s="95">
        <v>98.076909999999998</v>
      </c>
      <c r="L35" s="95">
        <v>99.735420000000005</v>
      </c>
      <c r="M35" s="95">
        <v>98.837699999999998</v>
      </c>
      <c r="N35" s="95">
        <v>99.283510000000007</v>
      </c>
      <c r="O35" s="95">
        <v>99.913200000000003</v>
      </c>
      <c r="P35" s="95">
        <v>98.875159999999994</v>
      </c>
      <c r="Q35" s="95">
        <v>99.940399999999997</v>
      </c>
      <c r="R35" s="95">
        <v>101.4015</v>
      </c>
      <c r="S35" s="95">
        <v>97.103290000000001</v>
      </c>
      <c r="T35" s="95">
        <v>97.720789999999994</v>
      </c>
      <c r="U35" s="95">
        <v>99.010279999999995</v>
      </c>
      <c r="V35" s="95">
        <v>98.886129999999994</v>
      </c>
      <c r="W35" s="95">
        <v>99.044939999999997</v>
      </c>
      <c r="X35" s="95">
        <v>99.258300000000006</v>
      </c>
      <c r="Y35" t="s">
        <v>2946</v>
      </c>
      <c r="Z35">
        <v>102.51730000000001</v>
      </c>
      <c r="AA35">
        <v>98.668239999999997</v>
      </c>
      <c r="AB35">
        <v>100.2415</v>
      </c>
      <c r="AC35">
        <v>100.22580000000001</v>
      </c>
      <c r="AD35">
        <v>99.237009999999998</v>
      </c>
      <c r="AE35">
        <v>99.335650000000001</v>
      </c>
      <c r="AF35">
        <v>99.039140000000003</v>
      </c>
    </row>
    <row r="36" spans="1:32" x14ac:dyDescent="0.4">
      <c r="A36" s="92" t="str">
        <f t="shared" si="0"/>
        <v>2019-Jul</v>
      </c>
      <c r="B36" s="113">
        <f t="shared" si="1"/>
        <v>-1.6102446434536399E-2</v>
      </c>
      <c r="C36" s="113">
        <f t="shared" si="1"/>
        <v>-1.078424823810098E-2</v>
      </c>
      <c r="D36" s="113">
        <f t="shared" si="2"/>
        <v>-1.8184912881058501E-2</v>
      </c>
      <c r="E36" s="113">
        <f t="shared" si="3"/>
        <v>-9.9700586560109716E-3</v>
      </c>
      <c r="F36" s="113">
        <f t="shared" si="4"/>
        <v>-8.4607376122969313E-4</v>
      </c>
      <c r="G36" s="113">
        <f t="shared" si="5"/>
        <v>-8.9233736764615657E-4</v>
      </c>
      <c r="H36" s="92" t="s">
        <v>3054</v>
      </c>
      <c r="I36" s="93"/>
      <c r="J36" s="95">
        <v>100.1152</v>
      </c>
      <c r="K36" s="95">
        <v>97.986919999999998</v>
      </c>
      <c r="L36" s="95">
        <v>99.79101</v>
      </c>
      <c r="M36" s="95">
        <v>98.668009999999995</v>
      </c>
      <c r="N36" s="95">
        <v>99.232799999999997</v>
      </c>
      <c r="O36" s="95">
        <v>99.820599999999999</v>
      </c>
      <c r="P36" s="95">
        <v>98.786929999999998</v>
      </c>
      <c r="Q36" s="95">
        <v>99.533379999999994</v>
      </c>
      <c r="R36" s="95">
        <v>101.18129999999999</v>
      </c>
      <c r="S36" s="95">
        <v>97.488200000000006</v>
      </c>
      <c r="T36" s="95">
        <v>97.695760000000007</v>
      </c>
      <c r="U36" s="95">
        <v>98.926509999999993</v>
      </c>
      <c r="V36" s="95">
        <v>98.826130000000006</v>
      </c>
      <c r="W36" s="95">
        <v>98.967500000000001</v>
      </c>
      <c r="X36" s="95">
        <v>99.221999999999994</v>
      </c>
      <c r="Y36" t="s">
        <v>2946</v>
      </c>
      <c r="Z36">
        <v>102.65089999999999</v>
      </c>
      <c r="AA36">
        <v>98.699259999999995</v>
      </c>
      <c r="AB36">
        <v>100.11</v>
      </c>
      <c r="AC36">
        <v>100.3441</v>
      </c>
      <c r="AD36">
        <v>99.191699999999997</v>
      </c>
      <c r="AE36">
        <v>99.315830000000005</v>
      </c>
      <c r="AF36">
        <v>98.921040000000005</v>
      </c>
    </row>
    <row r="37" spans="1:32" x14ac:dyDescent="0.4">
      <c r="A37" s="92" t="str">
        <f t="shared" si="0"/>
        <v>2019-Aug</v>
      </c>
      <c r="B37" s="113">
        <f t="shared" si="1"/>
        <v>-1.5394523741502741E-2</v>
      </c>
      <c r="C37" s="113">
        <f t="shared" si="1"/>
        <v>-9.4859781353976436E-3</v>
      </c>
      <c r="D37" s="113">
        <f t="shared" si="2"/>
        <v>-1.7731824594170442E-2</v>
      </c>
      <c r="E37" s="113">
        <f t="shared" si="3"/>
        <v>-9.4660691919683515E-3</v>
      </c>
      <c r="F37" s="113">
        <f t="shared" si="4"/>
        <v>-5.393903009415224E-4</v>
      </c>
      <c r="G37" s="113">
        <f t="shared" si="5"/>
        <v>-5.8307308466809538E-4</v>
      </c>
      <c r="H37" s="92" t="s">
        <v>3055</v>
      </c>
      <c r="I37" s="93"/>
      <c r="J37" s="95">
        <v>100.13160000000001</v>
      </c>
      <c r="K37" s="95">
        <v>97.902330000000006</v>
      </c>
      <c r="L37" s="95">
        <v>99.841309999999993</v>
      </c>
      <c r="M37" s="95">
        <v>98.591239999999999</v>
      </c>
      <c r="N37" s="95">
        <v>99.193089999999998</v>
      </c>
      <c r="O37" s="95">
        <v>99.713859999999997</v>
      </c>
      <c r="P37" s="95">
        <v>98.729330000000004</v>
      </c>
      <c r="Q37" s="95">
        <v>99.191900000000004</v>
      </c>
      <c r="R37" s="95">
        <v>100.9233</v>
      </c>
      <c r="S37" s="95">
        <v>97.981780000000001</v>
      </c>
      <c r="T37" s="95">
        <v>97.651570000000007</v>
      </c>
      <c r="U37" s="95">
        <v>98.873149999999995</v>
      </c>
      <c r="V37" s="95">
        <v>98.793750000000003</v>
      </c>
      <c r="W37" s="95">
        <v>98.912580000000005</v>
      </c>
      <c r="X37" s="95">
        <v>99.193640000000002</v>
      </c>
      <c r="Y37" t="s">
        <v>2946</v>
      </c>
      <c r="Z37">
        <v>102.8246</v>
      </c>
      <c r="AA37">
        <v>98.693309999999997</v>
      </c>
      <c r="AB37">
        <v>99.986649999999997</v>
      </c>
      <c r="AC37">
        <v>100.4378</v>
      </c>
      <c r="AD37">
        <v>99.154169999999993</v>
      </c>
      <c r="AE37">
        <v>99.276269999999997</v>
      </c>
      <c r="AF37">
        <v>98.835160000000002</v>
      </c>
    </row>
    <row r="38" spans="1:32" x14ac:dyDescent="0.4">
      <c r="A38" s="92" t="str">
        <f t="shared" si="0"/>
        <v>2019-Sep</v>
      </c>
      <c r="B38" s="113">
        <f t="shared" si="1"/>
        <v>-1.4008809342928252E-2</v>
      </c>
      <c r="C38" s="113">
        <f t="shared" si="1"/>
        <v>-7.9684116148148743E-3</v>
      </c>
      <c r="D38" s="113">
        <f t="shared" si="2"/>
        <v>-1.632101619844839E-2</v>
      </c>
      <c r="E38" s="113">
        <f t="shared" si="3"/>
        <v>-8.5242241150211839E-3</v>
      </c>
      <c r="F38" s="113">
        <f t="shared" si="4"/>
        <v>2.1542754529590979E-5</v>
      </c>
      <c r="G38" s="113">
        <f t="shared" si="5"/>
        <v>-1.254946225200948E-4</v>
      </c>
      <c r="H38" s="92" t="s">
        <v>3056</v>
      </c>
      <c r="I38" s="93"/>
      <c r="J38" s="95">
        <v>100.1148</v>
      </c>
      <c r="K38" s="95">
        <v>97.843350000000001</v>
      </c>
      <c r="L38" s="95">
        <v>99.888040000000004</v>
      </c>
      <c r="M38" s="95">
        <v>98.604110000000006</v>
      </c>
      <c r="N38" s="95">
        <v>99.182649999999995</v>
      </c>
      <c r="O38" s="95">
        <v>99.591769999999997</v>
      </c>
      <c r="P38" s="95">
        <v>98.716939999999994</v>
      </c>
      <c r="Q38" s="95">
        <v>98.965580000000003</v>
      </c>
      <c r="R38" s="95">
        <v>100.6288</v>
      </c>
      <c r="S38" s="95">
        <v>98.530320000000003</v>
      </c>
      <c r="T38" s="95">
        <v>97.628559999999993</v>
      </c>
      <c r="U38" s="95">
        <v>98.875280000000004</v>
      </c>
      <c r="V38" s="95">
        <v>98.801419999999993</v>
      </c>
      <c r="W38" s="95">
        <v>98.897480000000002</v>
      </c>
      <c r="X38" s="95">
        <v>99.181849999999997</v>
      </c>
      <c r="Y38" t="s">
        <v>2946</v>
      </c>
      <c r="Z38">
        <v>103.02200000000001</v>
      </c>
      <c r="AA38">
        <v>98.653630000000007</v>
      </c>
      <c r="AB38">
        <v>99.874319999999997</v>
      </c>
      <c r="AC38">
        <v>100.4918</v>
      </c>
      <c r="AD38">
        <v>99.125079999999997</v>
      </c>
      <c r="AE38">
        <v>99.218770000000006</v>
      </c>
      <c r="AF38">
        <v>98.808769999999996</v>
      </c>
    </row>
    <row r="39" spans="1:32" x14ac:dyDescent="0.4">
      <c r="A39" s="92" t="str">
        <f t="shared" si="0"/>
        <v>2019-Oct</v>
      </c>
      <c r="B39" s="113">
        <f t="shared" si="1"/>
        <v>-1.198962851837837E-2</v>
      </c>
      <c r="C39" s="113">
        <f t="shared" si="1"/>
        <v>-6.2958402752244513E-3</v>
      </c>
      <c r="D39" s="113">
        <f t="shared" si="2"/>
        <v>-1.394399159554971E-2</v>
      </c>
      <c r="E39" s="113">
        <f t="shared" si="3"/>
        <v>-7.0615358242187565E-3</v>
      </c>
      <c r="F39" s="113">
        <f t="shared" si="4"/>
        <v>5.4159138664378048E-4</v>
      </c>
      <c r="G39" s="113">
        <f t="shared" si="5"/>
        <v>4.1198602792991146E-4</v>
      </c>
      <c r="H39" s="92" t="s">
        <v>3057</v>
      </c>
      <c r="I39" s="93"/>
      <c r="J39" s="95">
        <v>100.0796</v>
      </c>
      <c r="K39" s="95">
        <v>97.824520000000007</v>
      </c>
      <c r="L39" s="95">
        <v>99.927869999999999</v>
      </c>
      <c r="M39" s="95">
        <v>98.683490000000006</v>
      </c>
      <c r="N39" s="95">
        <v>99.192080000000004</v>
      </c>
      <c r="O39" s="95">
        <v>99.444929999999999</v>
      </c>
      <c r="P39" s="95">
        <v>98.75761</v>
      </c>
      <c r="Q39" s="95">
        <v>98.858199999999997</v>
      </c>
      <c r="R39" s="95">
        <v>100.28879999999999</v>
      </c>
      <c r="S39" s="95">
        <v>99.113659999999996</v>
      </c>
      <c r="T39" s="95">
        <v>97.679090000000002</v>
      </c>
      <c r="U39" s="95">
        <v>98.928830000000005</v>
      </c>
      <c r="V39" s="95">
        <v>98.851259999999996</v>
      </c>
      <c r="W39" s="95">
        <v>98.920289999999994</v>
      </c>
      <c r="X39" s="95">
        <v>99.188270000000003</v>
      </c>
      <c r="Y39" t="s">
        <v>2946</v>
      </c>
      <c r="Z39">
        <v>103.1977</v>
      </c>
      <c r="AA39">
        <v>98.598370000000003</v>
      </c>
      <c r="AB39">
        <v>99.774159999999995</v>
      </c>
      <c r="AC39">
        <v>100.4988</v>
      </c>
      <c r="AD39">
        <v>99.083479999999994</v>
      </c>
      <c r="AE39">
        <v>99.151790000000005</v>
      </c>
      <c r="AF39">
        <v>98.840010000000007</v>
      </c>
    </row>
    <row r="40" spans="1:32" x14ac:dyDescent="0.4">
      <c r="A40" s="92" t="str">
        <f t="shared" si="0"/>
        <v>2019-Nov</v>
      </c>
      <c r="B40" s="113">
        <f t="shared" si="1"/>
        <v>-9.5797698701640677E-3</v>
      </c>
      <c r="C40" s="113">
        <f t="shared" si="1"/>
        <v>-4.6260047524202541E-3</v>
      </c>
      <c r="D40" s="113">
        <f t="shared" si="2"/>
        <v>-1.0992165719554192E-2</v>
      </c>
      <c r="E40" s="113">
        <f t="shared" si="3"/>
        <v>-5.367339093541923E-3</v>
      </c>
      <c r="F40" s="113">
        <f t="shared" si="4"/>
        <v>8.2918194827530378E-4</v>
      </c>
      <c r="G40" s="113">
        <f t="shared" si="5"/>
        <v>8.1441825090755593E-4</v>
      </c>
      <c r="H40" s="92" t="s">
        <v>3058</v>
      </c>
      <c r="I40" s="93"/>
      <c r="J40" s="95">
        <v>100.0416</v>
      </c>
      <c r="K40" s="95">
        <v>97.863680000000002</v>
      </c>
      <c r="L40" s="95">
        <v>99.95787</v>
      </c>
      <c r="M40" s="95">
        <v>98.788210000000007</v>
      </c>
      <c r="N40" s="95">
        <v>99.211960000000005</v>
      </c>
      <c r="O40" s="95">
        <v>99.279169999999993</v>
      </c>
      <c r="P40" s="95">
        <v>98.838040000000007</v>
      </c>
      <c r="Q40" s="95">
        <v>98.870980000000003</v>
      </c>
      <c r="R40" s="95">
        <v>99.897350000000003</v>
      </c>
      <c r="S40" s="95">
        <v>99.634479999999996</v>
      </c>
      <c r="T40" s="95">
        <v>97.842830000000006</v>
      </c>
      <c r="U40" s="95">
        <v>99.010859999999994</v>
      </c>
      <c r="V40" s="95">
        <v>98.936369999999997</v>
      </c>
      <c r="W40" s="95">
        <v>98.96893</v>
      </c>
      <c r="X40" s="95">
        <v>99.210239999999999</v>
      </c>
      <c r="Y40" t="s">
        <v>2946</v>
      </c>
      <c r="Z40">
        <v>103.2894</v>
      </c>
      <c r="AA40">
        <v>98.561840000000004</v>
      </c>
      <c r="AB40">
        <v>99.686059999999998</v>
      </c>
      <c r="AC40">
        <v>100.44880000000001</v>
      </c>
      <c r="AD40">
        <v>99.010249999999999</v>
      </c>
      <c r="AE40">
        <v>99.092609999999993</v>
      </c>
      <c r="AF40">
        <v>98.911569999999998</v>
      </c>
    </row>
    <row r="41" spans="1:32" x14ac:dyDescent="0.4">
      <c r="A41" s="92" t="str">
        <f t="shared" si="0"/>
        <v>2019-Dec</v>
      </c>
      <c r="B41" s="113">
        <f t="shared" si="1"/>
        <v>-7.1606765088160218E-3</v>
      </c>
      <c r="C41" s="113">
        <f t="shared" si="1"/>
        <v>-3.1514036915784027E-3</v>
      </c>
      <c r="D41" s="113">
        <f t="shared" si="2"/>
        <v>-8.0053851770079953E-3</v>
      </c>
      <c r="E41" s="113">
        <f t="shared" si="3"/>
        <v>-3.8641568040516105E-3</v>
      </c>
      <c r="F41" s="113">
        <f t="shared" si="4"/>
        <v>7.9284232052923009E-4</v>
      </c>
      <c r="G41" s="113">
        <f t="shared" si="5"/>
        <v>9.2009109043433845E-4</v>
      </c>
      <c r="H41" s="92" t="s">
        <v>3059</v>
      </c>
      <c r="I41" s="93"/>
      <c r="J41" s="95">
        <v>100.00190000000001</v>
      </c>
      <c r="K41" s="95">
        <v>97.969220000000007</v>
      </c>
      <c r="L41" s="95">
        <v>99.975620000000006</v>
      </c>
      <c r="M41" s="95">
        <v>98.868669999999995</v>
      </c>
      <c r="N41" s="95">
        <v>99.235240000000005</v>
      </c>
      <c r="O41" s="95">
        <v>99.088189999999997</v>
      </c>
      <c r="P41" s="95">
        <v>98.928979999999996</v>
      </c>
      <c r="Q41" s="95">
        <v>98.947140000000005</v>
      </c>
      <c r="R41" s="95">
        <v>99.449349999999995</v>
      </c>
      <c r="S41" s="95">
        <v>100.044</v>
      </c>
      <c r="T41" s="95">
        <v>98.117609999999999</v>
      </c>
      <c r="U41" s="95">
        <v>99.089359999999999</v>
      </c>
      <c r="V41" s="95">
        <v>99.037610000000001</v>
      </c>
      <c r="W41" s="95">
        <v>99.020820000000001</v>
      </c>
      <c r="X41" s="95">
        <v>99.235569999999996</v>
      </c>
      <c r="Y41" t="s">
        <v>2946</v>
      </c>
      <c r="Z41">
        <v>103.2024</v>
      </c>
      <c r="AA41">
        <v>98.568629999999999</v>
      </c>
      <c r="AB41">
        <v>99.611080000000001</v>
      </c>
      <c r="AC41">
        <v>100.324</v>
      </c>
      <c r="AD41">
        <v>98.900689999999997</v>
      </c>
      <c r="AE41">
        <v>99.050669999999997</v>
      </c>
      <c r="AF41">
        <v>98.991870000000006</v>
      </c>
    </row>
    <row r="42" spans="1:32" x14ac:dyDescent="0.4">
      <c r="A42" s="92" t="str">
        <f t="shared" si="0"/>
        <v>2020-Jan</v>
      </c>
      <c r="B42" s="113">
        <f t="shared" si="1"/>
        <v>-5.1661012482325797E-3</v>
      </c>
      <c r="C42" s="113">
        <f t="shared" si="1"/>
        <v>-7.9814324591525043E-3</v>
      </c>
      <c r="D42" s="113">
        <f t="shared" si="2"/>
        <v>-5.5865288493032184E-3</v>
      </c>
      <c r="E42" s="113">
        <f t="shared" si="3"/>
        <v>-2.822523046894454E-3</v>
      </c>
      <c r="F42" s="113">
        <f t="shared" si="4"/>
        <v>3.6744611126771076E-4</v>
      </c>
      <c r="G42" s="113">
        <f t="shared" si="5"/>
        <v>6.0821409459599352E-4</v>
      </c>
      <c r="H42" s="92" t="s">
        <v>3060</v>
      </c>
      <c r="I42" s="93"/>
      <c r="J42" s="95">
        <v>99.975319999999996</v>
      </c>
      <c r="K42" s="95">
        <v>98.150959999999998</v>
      </c>
      <c r="L42" s="95">
        <v>100.0016</v>
      </c>
      <c r="M42" s="95">
        <v>98.897350000000003</v>
      </c>
      <c r="N42" s="95">
        <v>99.242230000000006</v>
      </c>
      <c r="O42" s="95">
        <v>98.85915</v>
      </c>
      <c r="P42" s="95">
        <v>98.989149999999995</v>
      </c>
      <c r="Q42" s="95">
        <v>99.047550000000001</v>
      </c>
      <c r="R42" s="95">
        <v>98.951480000000004</v>
      </c>
      <c r="S42" s="95">
        <v>100.28360000000001</v>
      </c>
      <c r="T42" s="95">
        <v>98.492769999999993</v>
      </c>
      <c r="U42" s="95">
        <v>99.125770000000003</v>
      </c>
      <c r="V42" s="95">
        <v>99.144109999999998</v>
      </c>
      <c r="W42" s="95">
        <v>99.052009999999996</v>
      </c>
      <c r="X42" s="95">
        <v>98.665760000000006</v>
      </c>
      <c r="Y42" t="s">
        <v>2946</v>
      </c>
      <c r="Z42">
        <v>102.8643</v>
      </c>
      <c r="AA42">
        <v>96.285790000000006</v>
      </c>
      <c r="AB42">
        <v>99.55189</v>
      </c>
      <c r="AC42">
        <v>100.1318</v>
      </c>
      <c r="AD42">
        <v>98.764179999999996</v>
      </c>
      <c r="AE42">
        <v>97.796279999999996</v>
      </c>
      <c r="AF42">
        <v>99.045910000000006</v>
      </c>
    </row>
    <row r="43" spans="1:32" x14ac:dyDescent="0.4">
      <c r="A43" s="92" t="str">
        <f t="shared" si="0"/>
        <v>2020-Feb</v>
      </c>
      <c r="B43" s="113">
        <f t="shared" si="1"/>
        <v>-3.8827735677325892E-3</v>
      </c>
      <c r="C43" s="113">
        <f t="shared" si="1"/>
        <v>-2.8151503890330831E-2</v>
      </c>
      <c r="D43" s="113">
        <f t="shared" si="2"/>
        <v>-4.2189038487473463E-3</v>
      </c>
      <c r="E43" s="113">
        <f t="shared" si="3"/>
        <v>-2.0129169730702667E-3</v>
      </c>
      <c r="F43" s="113">
        <f t="shared" si="4"/>
        <v>-3.6650408869465245E-4</v>
      </c>
      <c r="G43" s="113">
        <f t="shared" si="5"/>
        <v>4.065091982303759E-4</v>
      </c>
      <c r="H43" s="92" t="s">
        <v>3061</v>
      </c>
      <c r="I43" s="93"/>
      <c r="J43" s="95">
        <v>99.96866</v>
      </c>
      <c r="K43" s="95">
        <v>98.39282</v>
      </c>
      <c r="L43" s="95">
        <v>100.0575</v>
      </c>
      <c r="M43" s="95">
        <v>98.852140000000006</v>
      </c>
      <c r="N43" s="95">
        <v>99.214699999999993</v>
      </c>
      <c r="O43" s="95">
        <v>98.597909999999999</v>
      </c>
      <c r="P43" s="95">
        <v>99.029390000000006</v>
      </c>
      <c r="Q43" s="95">
        <v>99.135300000000001</v>
      </c>
      <c r="R43" s="95">
        <v>98.416409999999999</v>
      </c>
      <c r="S43" s="95">
        <v>100.3648</v>
      </c>
      <c r="T43" s="95">
        <v>98.956919999999997</v>
      </c>
      <c r="U43" s="95">
        <v>99.089439999999996</v>
      </c>
      <c r="V43" s="95">
        <v>99.247860000000003</v>
      </c>
      <c r="W43" s="95">
        <v>99.045429999999996</v>
      </c>
      <c r="X43" s="95">
        <v>96.604519999999994</v>
      </c>
      <c r="Y43" t="s">
        <v>2946</v>
      </c>
      <c r="Z43">
        <v>102.2831</v>
      </c>
      <c r="AA43">
        <v>88.362560000000002</v>
      </c>
      <c r="AB43">
        <v>99.511629999999997</v>
      </c>
      <c r="AC43">
        <v>99.901960000000003</v>
      </c>
      <c r="AD43">
        <v>98.63091</v>
      </c>
      <c r="AE43">
        <v>93.505880000000005</v>
      </c>
      <c r="AF43">
        <v>99.043300000000002</v>
      </c>
    </row>
    <row r="44" spans="1:32" x14ac:dyDescent="0.4">
      <c r="A44" s="92" t="str">
        <f t="shared" si="0"/>
        <v>2020-Mar</v>
      </c>
      <c r="B44" s="113">
        <f t="shared" si="1"/>
        <v>-2.357596843570009E-2</v>
      </c>
      <c r="C44" s="113">
        <f t="shared" si="1"/>
        <v>-6.1006251268655221E-2</v>
      </c>
      <c r="D44" s="113">
        <f t="shared" si="2"/>
        <v>-1.6791527491202607E-2</v>
      </c>
      <c r="E44" s="113">
        <f t="shared" si="3"/>
        <v>-9.9116462801773775E-4</v>
      </c>
      <c r="F44" s="113">
        <f t="shared" si="4"/>
        <v>-1.402783182546985E-2</v>
      </c>
      <c r="G44" s="113">
        <f t="shared" si="5"/>
        <v>3.8867249409491045E-4</v>
      </c>
      <c r="H44" s="92" t="s">
        <v>3062</v>
      </c>
      <c r="I44" s="93"/>
      <c r="J44" s="95">
        <v>98.454610000000002</v>
      </c>
      <c r="K44" s="95">
        <v>96.636970000000005</v>
      </c>
      <c r="L44" s="95">
        <v>96.004000000000005</v>
      </c>
      <c r="M44" s="95">
        <v>95.974320000000006</v>
      </c>
      <c r="N44" s="95">
        <v>93.747060000000005</v>
      </c>
      <c r="O44" s="95">
        <v>98.015500000000003</v>
      </c>
      <c r="P44" s="95">
        <v>99.067880000000002</v>
      </c>
      <c r="Q44" s="95">
        <v>95.728080000000006</v>
      </c>
      <c r="R44" s="95">
        <v>93.647059999999996</v>
      </c>
      <c r="S44" s="95">
        <v>97.643190000000004</v>
      </c>
      <c r="T44" s="95">
        <v>95.788600000000002</v>
      </c>
      <c r="U44" s="95">
        <v>97.699430000000007</v>
      </c>
      <c r="V44" s="95">
        <v>95.531360000000006</v>
      </c>
      <c r="W44" s="95">
        <v>96.983189999999993</v>
      </c>
      <c r="X44" s="95">
        <v>93.305019999999999</v>
      </c>
      <c r="Y44" t="s">
        <v>2946</v>
      </c>
      <c r="Z44">
        <v>100.6422</v>
      </c>
      <c r="AA44">
        <v>84.687920000000005</v>
      </c>
      <c r="AB44">
        <v>88.696389999999994</v>
      </c>
      <c r="AC44">
        <v>99.649540000000002</v>
      </c>
      <c r="AD44">
        <v>96.020529999999994</v>
      </c>
      <c r="AE44">
        <v>89.131389999999996</v>
      </c>
      <c r="AF44">
        <v>97.418430000000001</v>
      </c>
    </row>
    <row r="45" spans="1:32" x14ac:dyDescent="0.4">
      <c r="A45" s="92" t="str">
        <f t="shared" si="0"/>
        <v>2020-Apr</v>
      </c>
      <c r="B45" s="113">
        <f t="shared" si="1"/>
        <v>-6.9449406380057699E-2</v>
      </c>
      <c r="C45" s="113">
        <f t="shared" si="1"/>
        <v>-0.10348055954962043</v>
      </c>
      <c r="D45" s="113">
        <f t="shared" si="2"/>
        <v>-6.4726560748351036E-2</v>
      </c>
      <c r="E45" s="113">
        <f t="shared" si="3"/>
        <v>6.5760766268874171E-4</v>
      </c>
      <c r="F45" s="113">
        <f t="shared" si="4"/>
        <v>-5.000888950938609E-2</v>
      </c>
      <c r="G45" s="113">
        <f t="shared" si="5"/>
        <v>6.9144509804797138E-4</v>
      </c>
      <c r="H45" s="92" t="s">
        <v>3063</v>
      </c>
      <c r="I45" s="93"/>
      <c r="J45" s="95">
        <v>97.445430000000002</v>
      </c>
      <c r="K45" s="95">
        <v>95.606120000000004</v>
      </c>
      <c r="L45" s="95">
        <v>88.497919999999993</v>
      </c>
      <c r="M45" s="95">
        <v>90.691130000000001</v>
      </c>
      <c r="N45" s="95">
        <v>89.883930000000007</v>
      </c>
      <c r="O45" s="95">
        <v>97.41328</v>
      </c>
      <c r="P45" s="95">
        <v>99.136380000000003</v>
      </c>
      <c r="Q45" s="95">
        <v>86.284899999999993</v>
      </c>
      <c r="R45" s="95">
        <v>89.149959999999993</v>
      </c>
      <c r="S45" s="95">
        <v>75.726709999999997</v>
      </c>
      <c r="T45" s="95">
        <v>86.982849999999999</v>
      </c>
      <c r="U45" s="95">
        <v>92.813590000000005</v>
      </c>
      <c r="V45" s="95">
        <v>89.159899999999993</v>
      </c>
      <c r="W45" s="95">
        <v>92.336330000000004</v>
      </c>
      <c r="X45" s="95">
        <v>89.055660000000003</v>
      </c>
      <c r="Y45" t="s">
        <v>2946</v>
      </c>
      <c r="Z45">
        <v>93.227199999999996</v>
      </c>
      <c r="AA45">
        <v>90.069980000000001</v>
      </c>
      <c r="AB45">
        <v>68.210999999999999</v>
      </c>
      <c r="AC45">
        <v>94.793580000000006</v>
      </c>
      <c r="AD45">
        <v>91.750020000000006</v>
      </c>
      <c r="AE45">
        <v>87.174909999999997</v>
      </c>
      <c r="AF45">
        <v>92.354759999999999</v>
      </c>
    </row>
    <row r="46" spans="1:32" x14ac:dyDescent="0.4">
      <c r="A46" s="92" t="str">
        <f t="shared" si="0"/>
        <v>2020-May</v>
      </c>
      <c r="B46" s="113">
        <f t="shared" si="1"/>
        <v>-5.0591427145952217E-2</v>
      </c>
      <c r="C46" s="113">
        <f t="shared" si="1"/>
        <v>-6.0230999836450194E-2</v>
      </c>
      <c r="D46" s="113">
        <f t="shared" si="2"/>
        <v>-4.8090012882938016E-2</v>
      </c>
      <c r="E46" s="113">
        <f t="shared" si="3"/>
        <v>2.9682228584078096E-3</v>
      </c>
      <c r="F46" s="113">
        <f t="shared" si="4"/>
        <v>1.6544236679132851E-2</v>
      </c>
      <c r="G46" s="113">
        <f t="shared" si="5"/>
        <v>1.2678494009967789E-3</v>
      </c>
      <c r="H46" s="92" t="s">
        <v>3064</v>
      </c>
      <c r="I46" s="93"/>
      <c r="J46" s="95">
        <v>97.019109999999998</v>
      </c>
      <c r="K46" s="95">
        <v>96.664640000000006</v>
      </c>
      <c r="L46" s="95">
        <v>93.609660000000005</v>
      </c>
      <c r="M46" s="95">
        <v>93.073009999999996</v>
      </c>
      <c r="N46" s="95">
        <v>92.748919999999998</v>
      </c>
      <c r="O46" s="95">
        <v>96.984669999999994</v>
      </c>
      <c r="P46" s="95">
        <v>99.262069999999994</v>
      </c>
      <c r="Q46" s="95">
        <v>85.640479999999997</v>
      </c>
      <c r="R46" s="95">
        <v>90.664760000000001</v>
      </c>
      <c r="S46" s="95">
        <v>88.764570000000006</v>
      </c>
      <c r="T46" s="95">
        <v>89.463759999999994</v>
      </c>
      <c r="U46" s="95">
        <v>94.349119999999999</v>
      </c>
      <c r="V46" s="95">
        <v>92.290379999999999</v>
      </c>
      <c r="W46" s="95">
        <v>94.119410000000002</v>
      </c>
      <c r="X46" s="95">
        <v>93.316280000000006</v>
      </c>
      <c r="Y46" t="s">
        <v>2946</v>
      </c>
      <c r="Z46">
        <v>95.662779999999998</v>
      </c>
      <c r="AA46">
        <v>95.969470000000001</v>
      </c>
      <c r="AB46">
        <v>82.869079999999997</v>
      </c>
      <c r="AC46">
        <v>94.281710000000004</v>
      </c>
      <c r="AD46">
        <v>92.774510000000006</v>
      </c>
      <c r="AE46">
        <v>93.38937</v>
      </c>
      <c r="AF46">
        <v>93.630390000000006</v>
      </c>
    </row>
    <row r="47" spans="1:32" x14ac:dyDescent="0.4">
      <c r="A47" s="92" t="str">
        <f t="shared" si="0"/>
        <v>2020-Jun</v>
      </c>
      <c r="B47" s="113">
        <f t="shared" si="1"/>
        <v>-2.510638100240159E-2</v>
      </c>
      <c r="C47" s="113">
        <f t="shared" si="1"/>
        <v>-2.5307203528571409E-2</v>
      </c>
      <c r="D47" s="113">
        <f t="shared" si="2"/>
        <v>-2.8765497885674063E-2</v>
      </c>
      <c r="E47" s="113">
        <f t="shared" si="3"/>
        <v>6.1195349772380503E-3</v>
      </c>
      <c r="F47" s="113">
        <f t="shared" si="4"/>
        <v>1.9216713415027176E-2</v>
      </c>
      <c r="G47" s="113">
        <f t="shared" si="5"/>
        <v>2.1978183610316115E-3</v>
      </c>
      <c r="H47" s="92" t="s">
        <v>3065</v>
      </c>
      <c r="I47" s="93"/>
      <c r="J47" s="95">
        <v>97.703599999999994</v>
      </c>
      <c r="K47" s="95">
        <v>97.795969999999997</v>
      </c>
      <c r="L47" s="95">
        <v>98.140749999999997</v>
      </c>
      <c r="M47" s="95">
        <v>97.242519999999999</v>
      </c>
      <c r="N47" s="95">
        <v>96.3339</v>
      </c>
      <c r="O47" s="95">
        <v>97.163120000000006</v>
      </c>
      <c r="P47" s="95">
        <v>99.480230000000006</v>
      </c>
      <c r="Q47" s="95">
        <v>93.352620000000002</v>
      </c>
      <c r="R47" s="95">
        <v>93.818119999999993</v>
      </c>
      <c r="S47" s="95">
        <v>97.965149999999994</v>
      </c>
      <c r="T47" s="95">
        <v>94.99288</v>
      </c>
      <c r="U47" s="95">
        <v>96.162199999999999</v>
      </c>
      <c r="V47" s="95">
        <v>96.75855</v>
      </c>
      <c r="W47" s="95">
        <v>96.558279999999996</v>
      </c>
      <c r="X47" s="95">
        <v>96.746350000000007</v>
      </c>
      <c r="Y47" t="s">
        <v>2946</v>
      </c>
      <c r="Z47">
        <v>100.10339999999999</v>
      </c>
      <c r="AA47">
        <v>98.940280000000001</v>
      </c>
      <c r="AB47">
        <v>91.090710000000001</v>
      </c>
      <c r="AC47">
        <v>94.765829999999994</v>
      </c>
      <c r="AD47">
        <v>95.522829999999999</v>
      </c>
      <c r="AE47">
        <v>96.811800000000005</v>
      </c>
      <c r="AF47">
        <v>95.998230000000007</v>
      </c>
    </row>
    <row r="48" spans="1:32" x14ac:dyDescent="0.4">
      <c r="A48" s="92" t="str">
        <f t="shared" si="0"/>
        <v>2020-Jul</v>
      </c>
      <c r="B48" s="113">
        <f t="shared" ref="B48:C50" si="6">W48/W36-1</f>
        <v>-9.3697425922651956E-3</v>
      </c>
      <c r="C48" s="113">
        <f t="shared" si="6"/>
        <v>-9.8848037733566541E-3</v>
      </c>
      <c r="D48" s="113">
        <f t="shared" si="2"/>
        <v>-1.1707579697292414E-2</v>
      </c>
      <c r="E48" s="113">
        <f t="shared" si="3"/>
        <v>1.0058618078322867E-2</v>
      </c>
      <c r="F48" s="113">
        <f t="shared" si="4"/>
        <v>1.6702196913132239E-2</v>
      </c>
      <c r="G48" s="113">
        <f t="shared" si="5"/>
        <v>3.019293381207433E-3</v>
      </c>
      <c r="H48" s="92" t="s">
        <v>3066</v>
      </c>
      <c r="I48" s="93"/>
      <c r="J48" s="95">
        <v>98.264799999999994</v>
      </c>
      <c r="K48" s="95">
        <v>98.351640000000003</v>
      </c>
      <c r="L48" s="95">
        <v>98.076369999999997</v>
      </c>
      <c r="M48" s="95">
        <v>98.625780000000006</v>
      </c>
      <c r="N48" s="95">
        <v>97.760859999999994</v>
      </c>
      <c r="O48" s="95">
        <v>97.813010000000006</v>
      </c>
      <c r="P48" s="95">
        <v>99.780590000000004</v>
      </c>
      <c r="Q48" s="95">
        <v>94.648439999999994</v>
      </c>
      <c r="R48" s="95">
        <v>95.002340000000004</v>
      </c>
      <c r="S48" s="95">
        <v>100.6422</v>
      </c>
      <c r="T48" s="95">
        <v>99.254220000000004</v>
      </c>
      <c r="U48" s="95">
        <v>97.768320000000003</v>
      </c>
      <c r="V48" s="95">
        <v>98.505709999999993</v>
      </c>
      <c r="W48" s="95">
        <v>98.040199999999999</v>
      </c>
      <c r="X48" s="95">
        <v>98.241209999999995</v>
      </c>
      <c r="Y48" t="s">
        <v>2946</v>
      </c>
      <c r="Z48">
        <v>101.59820000000001</v>
      </c>
      <c r="AA48">
        <v>99.834159999999997</v>
      </c>
      <c r="AB48">
        <v>94.740359999999995</v>
      </c>
      <c r="AC48">
        <v>95.07253</v>
      </c>
      <c r="AD48">
        <v>96.712260000000001</v>
      </c>
      <c r="AE48">
        <v>98.19229</v>
      </c>
      <c r="AF48">
        <v>97.493340000000003</v>
      </c>
    </row>
    <row r="49" spans="1:32" x14ac:dyDescent="0.4">
      <c r="A49" s="92" t="str">
        <f t="shared" si="0"/>
        <v>2020-Aug</v>
      </c>
      <c r="B49" s="113">
        <f t="shared" si="6"/>
        <v>-3.2628812229952286E-3</v>
      </c>
      <c r="C49" s="113">
        <f t="shared" si="6"/>
        <v>-2.2034678836263533E-3</v>
      </c>
      <c r="D49" s="113">
        <f t="shared" si="2"/>
        <v>-4.1525934998530856E-3</v>
      </c>
      <c r="E49" s="113">
        <f t="shared" si="3"/>
        <v>1.4281166498344433E-2</v>
      </c>
      <c r="F49" s="113">
        <f t="shared" si="4"/>
        <v>7.100970948462626E-3</v>
      </c>
      <c r="G49" s="113">
        <f t="shared" si="5"/>
        <v>3.5949877626499926E-3</v>
      </c>
      <c r="H49" s="92" t="s">
        <v>3067</v>
      </c>
      <c r="I49" s="93"/>
      <c r="J49" s="95">
        <v>98.899739999999994</v>
      </c>
      <c r="K49" s="95">
        <v>98.757180000000005</v>
      </c>
      <c r="L49" s="95">
        <v>98.324259999999995</v>
      </c>
      <c r="M49" s="95">
        <v>99.081630000000004</v>
      </c>
      <c r="N49" s="95">
        <v>98.728830000000002</v>
      </c>
      <c r="O49" s="95">
        <v>98.256609999999995</v>
      </c>
      <c r="P49" s="95">
        <v>100.13930000000001</v>
      </c>
      <c r="Q49" s="95">
        <v>95.546279999999996</v>
      </c>
      <c r="R49" s="95">
        <v>94.955309999999997</v>
      </c>
      <c r="S49" s="95">
        <v>100.65479999999999</v>
      </c>
      <c r="T49" s="95">
        <v>99.224040000000002</v>
      </c>
      <c r="U49" s="95">
        <v>98.462569999999999</v>
      </c>
      <c r="V49" s="95">
        <v>98.895120000000006</v>
      </c>
      <c r="W49" s="95">
        <v>98.589839999999995</v>
      </c>
      <c r="X49" s="95">
        <v>98.975070000000002</v>
      </c>
      <c r="Y49" t="s">
        <v>2946</v>
      </c>
      <c r="Z49">
        <v>102.2534</v>
      </c>
      <c r="AA49">
        <v>100.8053</v>
      </c>
      <c r="AB49">
        <v>96.094570000000004</v>
      </c>
      <c r="AC49">
        <v>95.290009999999995</v>
      </c>
      <c r="AD49">
        <v>98.304339999999996</v>
      </c>
      <c r="AE49">
        <v>99.092160000000007</v>
      </c>
      <c r="AF49">
        <v>98.186760000000007</v>
      </c>
    </row>
    <row r="50" spans="1:32" x14ac:dyDescent="0.4">
      <c r="A50" s="92" t="str">
        <f t="shared" si="0"/>
        <v>2020-Sep</v>
      </c>
      <c r="B50" s="113">
        <f t="shared" si="6"/>
        <v>-9.1650464703452172E-4</v>
      </c>
      <c r="C50" s="113">
        <f t="shared" si="6"/>
        <v>5.0440680426913076E-3</v>
      </c>
      <c r="D50" s="113">
        <f t="shared" si="2"/>
        <v>-1.1579233960197222E-3</v>
      </c>
      <c r="E50" s="113">
        <f t="shared" si="3"/>
        <v>1.8324717115421052E-2</v>
      </c>
      <c r="F50" s="113">
        <f t="shared" si="4"/>
        <v>3.0287651439526719E-3</v>
      </c>
      <c r="G50" s="113">
        <f t="shared" si="5"/>
        <v>3.8606221533403762E-3</v>
      </c>
      <c r="H50" s="92" t="s">
        <v>3068</v>
      </c>
      <c r="I50" s="93"/>
      <c r="J50" s="95">
        <v>99.270150000000001</v>
      </c>
      <c r="K50" s="95">
        <v>99.289670000000001</v>
      </c>
      <c r="L50" s="95">
        <v>98.428709999999995</v>
      </c>
      <c r="M50" s="95">
        <v>99.318430000000006</v>
      </c>
      <c r="N50" s="95">
        <v>99.304500000000004</v>
      </c>
      <c r="O50" s="95">
        <v>98.551220000000001</v>
      </c>
      <c r="P50" s="95">
        <v>100.52589999999999</v>
      </c>
      <c r="Q50" s="95">
        <v>95.457639999999998</v>
      </c>
      <c r="R50" s="95">
        <v>95.312259999999995</v>
      </c>
      <c r="S50" s="95">
        <v>100.53</v>
      </c>
      <c r="T50" s="95">
        <v>98.403210000000001</v>
      </c>
      <c r="U50" s="95">
        <v>98.76079</v>
      </c>
      <c r="V50" s="95">
        <v>98.912639999999996</v>
      </c>
      <c r="W50" s="95">
        <v>98.806839999999994</v>
      </c>
      <c r="X50" s="95">
        <v>99.682130000000001</v>
      </c>
      <c r="Y50" t="s">
        <v>2946</v>
      </c>
      <c r="Z50">
        <v>102.9228</v>
      </c>
      <c r="AA50">
        <v>101.9858</v>
      </c>
      <c r="AB50">
        <v>98.720439999999996</v>
      </c>
      <c r="AC50">
        <v>95.236090000000004</v>
      </c>
      <c r="AD50">
        <v>98.646320000000003</v>
      </c>
      <c r="AE50">
        <v>100.3395</v>
      </c>
      <c r="AF50">
        <v>98.462890000000002</v>
      </c>
    </row>
    <row r="51" spans="1:32" x14ac:dyDescent="0.4">
      <c r="A51" s="92" t="str">
        <f t="shared" ref="A51:A104" si="7">H51</f>
        <v>2020-Oct</v>
      </c>
      <c r="B51" s="113">
        <f t="shared" ref="B51:B104" si="8">W51/W39-1</f>
        <v>1.5105091179981045E-3</v>
      </c>
      <c r="C51" s="113">
        <f t="shared" ref="C51:C104" si="9">X51/X39-1</f>
        <v>9.1203324747977099E-3</v>
      </c>
      <c r="D51" s="113">
        <f t="shared" ref="D51:D104" si="10">U51/U39-1</f>
        <v>2.0152871513794413E-3</v>
      </c>
      <c r="E51" s="113">
        <f t="shared" ref="E51:E104" si="11">P51/P39-1</f>
        <v>2.1804800662956536E-2</v>
      </c>
      <c r="F51" s="113">
        <f t="shared" si="4"/>
        <v>3.7202011041022054E-3</v>
      </c>
      <c r="G51" s="113">
        <f t="shared" si="5"/>
        <v>3.8308535412268085E-3</v>
      </c>
      <c r="H51" s="92" t="s">
        <v>3069</v>
      </c>
      <c r="I51" s="93"/>
      <c r="J51" s="95">
        <v>99.794120000000007</v>
      </c>
      <c r="K51" s="95">
        <v>99.368049999999997</v>
      </c>
      <c r="L51" s="95">
        <v>98.783850000000001</v>
      </c>
      <c r="M51" s="95">
        <v>99.545299999999997</v>
      </c>
      <c r="N51" s="95">
        <v>99.688029999999998</v>
      </c>
      <c r="O51" s="95">
        <v>98.819270000000003</v>
      </c>
      <c r="P51" s="95">
        <v>100.911</v>
      </c>
      <c r="Q51" s="95">
        <v>96.188760000000002</v>
      </c>
      <c r="R51" s="95">
        <v>95.767399999999995</v>
      </c>
      <c r="S51" s="95">
        <v>100.3261</v>
      </c>
      <c r="T51" s="95">
        <v>97.961650000000006</v>
      </c>
      <c r="U51" s="95">
        <v>99.128200000000007</v>
      </c>
      <c r="V51" s="95">
        <v>99.038960000000003</v>
      </c>
      <c r="W51" s="95">
        <v>99.069710000000001</v>
      </c>
      <c r="X51" s="95">
        <v>100.0929</v>
      </c>
      <c r="Y51" t="s">
        <v>2946</v>
      </c>
      <c r="Z51">
        <v>103.5091</v>
      </c>
      <c r="AA51">
        <v>102.377</v>
      </c>
      <c r="AB51">
        <v>99.964039999999997</v>
      </c>
      <c r="AC51">
        <v>95.332049999999995</v>
      </c>
      <c r="AD51">
        <v>99.032610000000005</v>
      </c>
      <c r="AE51">
        <v>100.8762</v>
      </c>
      <c r="AF51">
        <v>98.845889999999997</v>
      </c>
    </row>
    <row r="52" spans="1:32" x14ac:dyDescent="0.4">
      <c r="A52" s="92" t="str">
        <f t="shared" si="7"/>
        <v>2020-Nov</v>
      </c>
      <c r="B52" s="113">
        <f t="shared" si="8"/>
        <v>4.0220703608697672E-3</v>
      </c>
      <c r="C52" s="113">
        <f t="shared" si="9"/>
        <v>1.1886474621974452E-2</v>
      </c>
      <c r="D52" s="113">
        <f t="shared" si="10"/>
        <v>5.2264973761464439E-3</v>
      </c>
      <c r="E52" s="113">
        <f t="shared" si="11"/>
        <v>2.474108147025178E-2</v>
      </c>
      <c r="F52" s="113">
        <f t="shared" si="4"/>
        <v>4.0365910003408167E-3</v>
      </c>
      <c r="G52" s="113">
        <f t="shared" si="5"/>
        <v>3.6903806324384281E-3</v>
      </c>
      <c r="H52" s="92" t="s">
        <v>3070</v>
      </c>
      <c r="I52" s="93"/>
      <c r="J52" s="95">
        <v>100.3954</v>
      </c>
      <c r="K52" s="95">
        <v>99.765339999999995</v>
      </c>
      <c r="L52" s="95">
        <v>98.870930000000001</v>
      </c>
      <c r="M52" s="95">
        <v>99.764520000000005</v>
      </c>
      <c r="N52" s="95">
        <v>99.882320000000007</v>
      </c>
      <c r="O52" s="95">
        <v>99.09657</v>
      </c>
      <c r="P52" s="95">
        <v>101.2834</v>
      </c>
      <c r="Q52" s="95">
        <v>97.334069999999997</v>
      </c>
      <c r="R52" s="95">
        <v>96.361609999999999</v>
      </c>
      <c r="S52" s="95">
        <v>100.0702</v>
      </c>
      <c r="T52" s="95">
        <v>97.968950000000007</v>
      </c>
      <c r="U52" s="95">
        <v>99.52834</v>
      </c>
      <c r="V52" s="95">
        <v>99.172049999999999</v>
      </c>
      <c r="W52" s="95">
        <v>99.366990000000001</v>
      </c>
      <c r="X52" s="95">
        <v>100.3895</v>
      </c>
      <c r="Y52" t="s">
        <v>2946</v>
      </c>
      <c r="Z52">
        <v>103.9572</v>
      </c>
      <c r="AA52">
        <v>102.65560000000001</v>
      </c>
      <c r="AB52">
        <v>100.0749</v>
      </c>
      <c r="AC52">
        <v>95.658389999999997</v>
      </c>
      <c r="AD52">
        <v>99.440349999999995</v>
      </c>
      <c r="AE52">
        <v>101.12730000000001</v>
      </c>
      <c r="AF52">
        <v>99.322389999999999</v>
      </c>
    </row>
    <row r="53" spans="1:32" x14ac:dyDescent="0.4">
      <c r="A53" s="92" t="str">
        <f t="shared" si="7"/>
        <v>2020-Dec</v>
      </c>
      <c r="B53" s="113">
        <f t="shared" si="8"/>
        <v>7.7569545475386636E-3</v>
      </c>
      <c r="C53" s="113">
        <f t="shared" si="9"/>
        <v>1.4766177087510046E-2</v>
      </c>
      <c r="D53" s="113">
        <f t="shared" si="10"/>
        <v>8.6620803686692227E-3</v>
      </c>
      <c r="E53" s="113">
        <f t="shared" si="11"/>
        <v>2.7403699098080381E-2</v>
      </c>
      <c r="F53" s="113">
        <f t="shared" si="4"/>
        <v>4.213272320225725E-3</v>
      </c>
      <c r="G53" s="113">
        <f t="shared" si="5"/>
        <v>3.5208138747317985E-3</v>
      </c>
      <c r="H53" s="92" t="s">
        <v>3071</v>
      </c>
      <c r="I53" s="93"/>
      <c r="J53" s="95">
        <v>100.7431</v>
      </c>
      <c r="K53" s="95">
        <v>100.6686</v>
      </c>
      <c r="L53" s="95">
        <v>98.999049999999997</v>
      </c>
      <c r="M53" s="95">
        <v>100.0223</v>
      </c>
      <c r="N53" s="95">
        <v>100.14109999999999</v>
      </c>
      <c r="O53" s="95">
        <v>99.367519999999999</v>
      </c>
      <c r="P53" s="95">
        <v>101.64</v>
      </c>
      <c r="Q53" s="95">
        <v>98.485609999999994</v>
      </c>
      <c r="R53" s="95">
        <v>97.323790000000002</v>
      </c>
      <c r="S53" s="95">
        <v>99.87585</v>
      </c>
      <c r="T53" s="95">
        <v>99.015680000000003</v>
      </c>
      <c r="U53" s="95">
        <v>99.947680000000005</v>
      </c>
      <c r="V53" s="95">
        <v>99.589280000000002</v>
      </c>
      <c r="W53" s="95">
        <v>99.788920000000005</v>
      </c>
      <c r="X53" s="95">
        <v>100.7009</v>
      </c>
      <c r="Y53" t="s">
        <v>2946</v>
      </c>
      <c r="Z53">
        <v>104.2334</v>
      </c>
      <c r="AA53">
        <v>102.8155</v>
      </c>
      <c r="AB53">
        <v>100.1849</v>
      </c>
      <c r="AC53">
        <v>95.894260000000003</v>
      </c>
      <c r="AD53">
        <v>99.700100000000006</v>
      </c>
      <c r="AE53">
        <v>101.3064</v>
      </c>
      <c r="AF53">
        <v>99.853430000000003</v>
      </c>
    </row>
    <row r="54" spans="1:32" x14ac:dyDescent="0.4">
      <c r="A54" s="92" t="str">
        <f t="shared" si="7"/>
        <v>2021-Jan</v>
      </c>
      <c r="B54" s="113">
        <f t="shared" si="8"/>
        <v>1.0345978844851444E-2</v>
      </c>
      <c r="C54" s="113">
        <f t="shared" si="9"/>
        <v>2.2675951616852652E-2</v>
      </c>
      <c r="D54" s="113">
        <f t="shared" si="10"/>
        <v>1.2085959080065711E-2</v>
      </c>
      <c r="E54" s="113">
        <f t="shared" si="11"/>
        <v>3.025432585288379E-2</v>
      </c>
      <c r="F54" s="113">
        <f t="shared" si="4"/>
        <v>3.7631688899633087E-3</v>
      </c>
      <c r="G54" s="113">
        <f t="shared" si="5"/>
        <v>3.3844942935852274E-3</v>
      </c>
      <c r="H54" s="92" t="s">
        <v>3072</v>
      </c>
      <c r="I54" s="93"/>
      <c r="J54" s="95">
        <v>100.991</v>
      </c>
      <c r="K54" s="95">
        <v>101.0342</v>
      </c>
      <c r="L54" s="95">
        <v>99.252330000000001</v>
      </c>
      <c r="M54" s="95">
        <v>100.3544</v>
      </c>
      <c r="N54" s="95">
        <v>100.4739</v>
      </c>
      <c r="O54" s="95">
        <v>99.640339999999995</v>
      </c>
      <c r="P54" s="95">
        <v>101.98399999999999</v>
      </c>
      <c r="Q54" s="95">
        <v>99.385540000000006</v>
      </c>
      <c r="R54" s="95">
        <v>97.919700000000006</v>
      </c>
      <c r="S54" s="95">
        <v>99.81317</v>
      </c>
      <c r="T54" s="95">
        <v>98.652320000000003</v>
      </c>
      <c r="U54" s="95">
        <v>100.32380000000001</v>
      </c>
      <c r="V54" s="95">
        <v>99.736559999999997</v>
      </c>
      <c r="W54" s="95">
        <v>100.07680000000001</v>
      </c>
      <c r="X54" s="95">
        <v>100.90309999999999</v>
      </c>
      <c r="Y54" t="s">
        <v>2946</v>
      </c>
      <c r="Z54">
        <v>104.3111</v>
      </c>
      <c r="AA54">
        <v>102.8712</v>
      </c>
      <c r="AB54">
        <v>100.2903</v>
      </c>
      <c r="AC54">
        <v>95.922110000000004</v>
      </c>
      <c r="AD54">
        <v>99.972740000000002</v>
      </c>
      <c r="AE54">
        <v>101.4128</v>
      </c>
      <c r="AF54">
        <v>100.2826</v>
      </c>
    </row>
    <row r="55" spans="1:32" x14ac:dyDescent="0.4">
      <c r="A55" s="92" t="str">
        <f t="shared" si="7"/>
        <v>2021-Feb</v>
      </c>
      <c r="B55" s="113">
        <f t="shared" si="8"/>
        <v>1.4316359674545254E-2</v>
      </c>
      <c r="C55" s="113">
        <f t="shared" si="9"/>
        <v>4.6576288562895529E-2</v>
      </c>
      <c r="D55" s="113">
        <f t="shared" si="10"/>
        <v>1.6218277144365745E-2</v>
      </c>
      <c r="E55" s="113">
        <f t="shared" si="11"/>
        <v>3.2952944575342702E-2</v>
      </c>
      <c r="F55" s="113">
        <f t="shared" si="4"/>
        <v>3.7149709241475204E-3</v>
      </c>
      <c r="G55" s="113">
        <f t="shared" si="5"/>
        <v>3.0269454032005871E-3</v>
      </c>
      <c r="H55" t="s">
        <v>3073</v>
      </c>
      <c r="J55">
        <v>101.2055</v>
      </c>
      <c r="K55">
        <v>101.3951</v>
      </c>
      <c r="L55">
        <v>99.424999999999997</v>
      </c>
      <c r="M55">
        <v>100.79170000000001</v>
      </c>
      <c r="N55">
        <v>100.89100000000001</v>
      </c>
      <c r="O55">
        <v>99.912239999999997</v>
      </c>
      <c r="P55">
        <v>102.2927</v>
      </c>
      <c r="Q55">
        <v>99.660650000000004</v>
      </c>
      <c r="R55">
        <v>98.861279999999994</v>
      </c>
      <c r="S55">
        <v>99.956950000000006</v>
      </c>
      <c r="T55">
        <v>99.468320000000006</v>
      </c>
      <c r="U55">
        <v>100.6965</v>
      </c>
      <c r="V55">
        <v>100.1955</v>
      </c>
      <c r="W55">
        <v>100.46339999999999</v>
      </c>
      <c r="X55">
        <v>101.104</v>
      </c>
      <c r="Y55" t="s">
        <v>2946</v>
      </c>
      <c r="Z55">
        <v>104.25</v>
      </c>
      <c r="AA55">
        <v>102.82080000000001</v>
      </c>
      <c r="AB55">
        <v>100.3883</v>
      </c>
      <c r="AC55">
        <v>96.076179999999994</v>
      </c>
      <c r="AD55">
        <v>100.27509999999999</v>
      </c>
      <c r="AE55">
        <v>101.46559999999999</v>
      </c>
      <c r="AF55">
        <v>100.6446</v>
      </c>
    </row>
    <row r="56" spans="1:32" x14ac:dyDescent="0.4">
      <c r="A56" s="92" t="str">
        <f t="shared" si="7"/>
        <v>2021-Mar</v>
      </c>
      <c r="B56" s="113">
        <f t="shared" si="8"/>
        <v>4.0321523760973532E-2</v>
      </c>
      <c r="C56" s="113">
        <f t="shared" si="9"/>
        <v>8.5912633639647629E-2</v>
      </c>
      <c r="D56" s="113">
        <f t="shared" si="10"/>
        <v>3.3953831665138656E-2</v>
      </c>
      <c r="E56" s="113">
        <f t="shared" si="11"/>
        <v>3.5089274142133586E-2</v>
      </c>
      <c r="F56" s="113">
        <f t="shared" si="4"/>
        <v>3.1798523285317959E-3</v>
      </c>
      <c r="G56" s="113">
        <f t="shared" si="5"/>
        <v>2.4576533809352874E-3</v>
      </c>
      <c r="H56" t="s">
        <v>3074</v>
      </c>
      <c r="J56">
        <v>101.3783</v>
      </c>
      <c r="K56">
        <v>102.1317</v>
      </c>
      <c r="L56">
        <v>99.844409999999996</v>
      </c>
      <c r="M56">
        <v>101.3058</v>
      </c>
      <c r="N56">
        <v>101.4991</v>
      </c>
      <c r="O56">
        <v>100.1695</v>
      </c>
      <c r="P56">
        <v>102.5441</v>
      </c>
      <c r="Q56">
        <v>100.1421</v>
      </c>
      <c r="R56">
        <v>100.363</v>
      </c>
      <c r="S56">
        <v>100.319</v>
      </c>
      <c r="T56">
        <v>100.52160000000001</v>
      </c>
      <c r="U56">
        <v>101.0167</v>
      </c>
      <c r="V56">
        <v>100.8292</v>
      </c>
      <c r="W56">
        <v>100.8937</v>
      </c>
      <c r="X56">
        <v>101.3211</v>
      </c>
      <c r="Y56" t="s">
        <v>2946</v>
      </c>
      <c r="Z56">
        <v>104.16070000000001</v>
      </c>
      <c r="AA56">
        <v>102.66849999999999</v>
      </c>
      <c r="AB56">
        <v>100.4778</v>
      </c>
      <c r="AC56">
        <v>96.645449999999997</v>
      </c>
      <c r="AD56">
        <v>100.5956</v>
      </c>
      <c r="AE56">
        <v>101.4875</v>
      </c>
      <c r="AF56">
        <v>101.01139999999999</v>
      </c>
    </row>
    <row r="57" spans="1:32" x14ac:dyDescent="0.4">
      <c r="A57" s="92" t="str">
        <f t="shared" si="7"/>
        <v>2021-Apr</v>
      </c>
      <c r="B57" s="113">
        <f t="shared" si="8"/>
        <v>9.6402683537454736E-2</v>
      </c>
      <c r="C57" s="113">
        <f t="shared" si="9"/>
        <v>0.13954576272861274</v>
      </c>
      <c r="D57" s="113">
        <f t="shared" si="10"/>
        <v>9.1200114121218645E-2</v>
      </c>
      <c r="E57" s="113">
        <f t="shared" si="11"/>
        <v>3.6025321884862072E-2</v>
      </c>
      <c r="F57" s="113">
        <f t="shared" si="4"/>
        <v>2.5886808814779005E-3</v>
      </c>
      <c r="G57" s="113">
        <f t="shared" si="5"/>
        <v>1.5963863352450591E-3</v>
      </c>
      <c r="H57" t="s">
        <v>3075</v>
      </c>
      <c r="J57">
        <v>101.502</v>
      </c>
      <c r="K57">
        <v>102.1645</v>
      </c>
      <c r="L57">
        <v>100.3486</v>
      </c>
      <c r="M57">
        <v>101.8112</v>
      </c>
      <c r="N57">
        <v>102.1524</v>
      </c>
      <c r="O57">
        <v>100.39490000000001</v>
      </c>
      <c r="P57">
        <v>102.70780000000001</v>
      </c>
      <c r="Q57">
        <v>100.83320000000001</v>
      </c>
      <c r="R57">
        <v>100.89109999999999</v>
      </c>
      <c r="S57">
        <v>100.81100000000001</v>
      </c>
      <c r="T57">
        <v>101.1836</v>
      </c>
      <c r="U57">
        <v>101.2782</v>
      </c>
      <c r="V57">
        <v>101.39830000000001</v>
      </c>
      <c r="W57">
        <v>101.23779999999999</v>
      </c>
      <c r="X57">
        <v>101.483</v>
      </c>
      <c r="Y57" t="s">
        <v>2946</v>
      </c>
      <c r="Z57">
        <v>104.126</v>
      </c>
      <c r="AA57">
        <v>102.42489999999999</v>
      </c>
      <c r="AB57">
        <v>100.5583</v>
      </c>
      <c r="AC57">
        <v>97.241100000000003</v>
      </c>
      <c r="AD57">
        <v>100.8871</v>
      </c>
      <c r="AE57">
        <v>101.45180000000001</v>
      </c>
      <c r="AF57">
        <v>101.29949999999999</v>
      </c>
    </row>
    <row r="58" spans="1:32" x14ac:dyDescent="0.4">
      <c r="A58" s="92" t="str">
        <f t="shared" si="7"/>
        <v>2021-May</v>
      </c>
      <c r="B58" s="113">
        <f t="shared" si="8"/>
        <v>7.8122992908689071E-2</v>
      </c>
      <c r="C58" s="113">
        <f t="shared" si="9"/>
        <v>8.822812053802398E-2</v>
      </c>
      <c r="D58" s="113">
        <f t="shared" si="10"/>
        <v>7.4160522111917926E-2</v>
      </c>
      <c r="E58" s="113">
        <f t="shared" si="11"/>
        <v>3.5014683856583018E-2</v>
      </c>
      <c r="F58" s="113">
        <f t="shared" si="4"/>
        <v>6.7043055662541207E-4</v>
      </c>
      <c r="G58" s="113">
        <f t="shared" si="5"/>
        <v>2.9111713034457587E-4</v>
      </c>
      <c r="H58" t="s">
        <v>3076</v>
      </c>
      <c r="J58">
        <v>101.5607</v>
      </c>
      <c r="K58">
        <v>102.55410000000001</v>
      </c>
      <c r="L58">
        <v>100.86069999999999</v>
      </c>
      <c r="M58">
        <v>102.2568</v>
      </c>
      <c r="N58">
        <v>102.7979</v>
      </c>
      <c r="O58">
        <v>100.5643</v>
      </c>
      <c r="P58">
        <v>102.7377</v>
      </c>
      <c r="Q58">
        <v>101.16379999999999</v>
      </c>
      <c r="R58">
        <v>101.3819</v>
      </c>
      <c r="S58">
        <v>101.4534</v>
      </c>
      <c r="T58">
        <v>101.6621</v>
      </c>
      <c r="U58">
        <v>101.34610000000001</v>
      </c>
      <c r="V58">
        <v>101.90470000000001</v>
      </c>
      <c r="W58">
        <v>101.4723</v>
      </c>
      <c r="X58">
        <v>101.54940000000001</v>
      </c>
      <c r="Y58" t="s">
        <v>2946</v>
      </c>
      <c r="Z58">
        <v>104.1439</v>
      </c>
      <c r="AA58">
        <v>102.1001</v>
      </c>
      <c r="AB58">
        <v>100.6301</v>
      </c>
      <c r="AC58">
        <v>97.456379999999996</v>
      </c>
      <c r="AD58">
        <v>101.1003</v>
      </c>
      <c r="AE58">
        <v>101.328</v>
      </c>
      <c r="AF58">
        <v>101.4174</v>
      </c>
    </row>
    <row r="59" spans="1:32" x14ac:dyDescent="0.4">
      <c r="A59" s="92" t="str">
        <f t="shared" si="7"/>
        <v>2021-Jun</v>
      </c>
      <c r="B59" s="113">
        <f t="shared" si="8"/>
        <v>5.2610920575635767E-2</v>
      </c>
      <c r="C59" s="113">
        <f t="shared" si="9"/>
        <v>4.9748130032812421E-2</v>
      </c>
      <c r="D59" s="113">
        <f t="shared" si="10"/>
        <v>5.3882918652027545E-2</v>
      </c>
      <c r="E59" s="113">
        <f t="shared" si="11"/>
        <v>3.1561748500179343E-2</v>
      </c>
      <c r="F59" s="113">
        <f t="shared" si="4"/>
        <v>-2.3681227003358174E-5</v>
      </c>
      <c r="G59" s="113">
        <f t="shared" si="5"/>
        <v>-1.1456359252737247E-3</v>
      </c>
      <c r="H59" t="s">
        <v>3077</v>
      </c>
      <c r="J59">
        <v>101.5402</v>
      </c>
      <c r="K59">
        <v>103.23099999999999</v>
      </c>
      <c r="L59">
        <v>101.2405</v>
      </c>
      <c r="M59">
        <v>102.6009</v>
      </c>
      <c r="N59">
        <v>103.3533</v>
      </c>
      <c r="O59">
        <v>100.6665</v>
      </c>
      <c r="P59">
        <v>102.62</v>
      </c>
      <c r="Q59">
        <v>101.4341</v>
      </c>
      <c r="R59">
        <v>101.8028</v>
      </c>
      <c r="S59">
        <v>102.1538</v>
      </c>
      <c r="T59">
        <v>101.9952</v>
      </c>
      <c r="U59">
        <v>101.3437</v>
      </c>
      <c r="V59">
        <v>102.2945</v>
      </c>
      <c r="W59">
        <v>101.6383</v>
      </c>
      <c r="X59">
        <v>101.55929999999999</v>
      </c>
      <c r="Y59" t="s">
        <v>2946</v>
      </c>
      <c r="Z59">
        <v>104.14230000000001</v>
      </c>
      <c r="AA59">
        <v>101.70140000000001</v>
      </c>
      <c r="AB59">
        <v>100.69240000000001</v>
      </c>
      <c r="AC59">
        <v>97.716729999999998</v>
      </c>
      <c r="AD59">
        <v>101.21469999999999</v>
      </c>
      <c r="AE59">
        <v>101.15</v>
      </c>
      <c r="AF59">
        <v>101.4919</v>
      </c>
    </row>
    <row r="60" spans="1:32" x14ac:dyDescent="0.4">
      <c r="A60" s="92" t="str">
        <f t="shared" si="7"/>
        <v>2021-Jul</v>
      </c>
      <c r="B60" s="113">
        <f t="shared" si="8"/>
        <v>3.727144579468411E-2</v>
      </c>
      <c r="C60" s="113">
        <f t="shared" si="9"/>
        <v>3.2275559309581148E-2</v>
      </c>
      <c r="D60" s="113">
        <f t="shared" si="10"/>
        <v>3.6025780130005236E-2</v>
      </c>
      <c r="E60" s="113">
        <f t="shared" si="11"/>
        <v>2.607130304601335E-2</v>
      </c>
      <c r="F60" s="113">
        <f t="shared" si="4"/>
        <v>-5.2494629661248293E-4</v>
      </c>
      <c r="G60" s="113">
        <f t="shared" si="5"/>
        <v>-2.3192360163710735E-3</v>
      </c>
      <c r="H60" t="s">
        <v>3078</v>
      </c>
      <c r="J60">
        <v>101.4472</v>
      </c>
      <c r="K60">
        <v>103.3436</v>
      </c>
      <c r="L60">
        <v>101.4729</v>
      </c>
      <c r="M60">
        <v>102.7966</v>
      </c>
      <c r="N60">
        <v>103.7529</v>
      </c>
      <c r="O60">
        <v>100.70440000000001</v>
      </c>
      <c r="P60">
        <v>102.38200000000001</v>
      </c>
      <c r="Q60">
        <v>101.621</v>
      </c>
      <c r="R60">
        <v>102.1317</v>
      </c>
      <c r="S60">
        <v>102.7346</v>
      </c>
      <c r="T60">
        <v>102.13809999999999</v>
      </c>
      <c r="U60">
        <v>101.29049999999999</v>
      </c>
      <c r="V60">
        <v>102.5252</v>
      </c>
      <c r="W60">
        <v>101.6943</v>
      </c>
      <c r="X60">
        <v>101.41200000000001</v>
      </c>
      <c r="Y60" t="s">
        <v>2946</v>
      </c>
      <c r="Z60">
        <v>104.0046</v>
      </c>
      <c r="AA60">
        <v>101.2456</v>
      </c>
      <c r="AB60">
        <v>100.7439</v>
      </c>
      <c r="AC60">
        <v>95.910550000000001</v>
      </c>
      <c r="AD60">
        <v>101.2702</v>
      </c>
      <c r="AE60">
        <v>100.77030000000001</v>
      </c>
      <c r="AF60">
        <v>101.47499999999999</v>
      </c>
    </row>
    <row r="61" spans="1:32" x14ac:dyDescent="0.4">
      <c r="A61" s="92" t="str">
        <f t="shared" si="7"/>
        <v>2021-Aug</v>
      </c>
      <c r="B61" s="113">
        <f t="shared" si="8"/>
        <v>3.1358809386443864E-2</v>
      </c>
      <c r="C61" s="113">
        <f t="shared" si="9"/>
        <v>2.321018818173104E-2</v>
      </c>
      <c r="D61" s="113">
        <f t="shared" si="10"/>
        <v>2.7974386612090285E-2</v>
      </c>
      <c r="E61" s="113">
        <f t="shared" si="11"/>
        <v>1.927814554325824E-2</v>
      </c>
      <c r="F61" s="113">
        <f t="shared" si="4"/>
        <v>-7.2563567165717657E-4</v>
      </c>
      <c r="G61" s="113">
        <f t="shared" si="5"/>
        <v>-3.049364146041289E-3</v>
      </c>
      <c r="H61" t="s">
        <v>3079</v>
      </c>
      <c r="J61">
        <v>101.282</v>
      </c>
      <c r="K61">
        <v>103.322</v>
      </c>
      <c r="L61">
        <v>101.6223</v>
      </c>
      <c r="M61">
        <v>102.84059999999999</v>
      </c>
      <c r="N61">
        <v>103.9815</v>
      </c>
      <c r="O61">
        <v>100.6935</v>
      </c>
      <c r="P61">
        <v>102.0698</v>
      </c>
      <c r="Q61">
        <v>101.7253</v>
      </c>
      <c r="R61">
        <v>102.35680000000001</v>
      </c>
      <c r="S61">
        <v>103.0658</v>
      </c>
      <c r="T61">
        <v>102.1031</v>
      </c>
      <c r="U61">
        <v>101.217</v>
      </c>
      <c r="V61">
        <v>102.6104</v>
      </c>
      <c r="W61">
        <v>101.6815</v>
      </c>
      <c r="X61">
        <v>101.2723</v>
      </c>
      <c r="Y61" t="s">
        <v>2946</v>
      </c>
      <c r="Z61">
        <v>103.682</v>
      </c>
      <c r="AA61">
        <v>100.7749</v>
      </c>
      <c r="AB61">
        <v>100.7831</v>
      </c>
      <c r="AC61">
        <v>95.806399999999996</v>
      </c>
      <c r="AD61">
        <v>101.32129999999999</v>
      </c>
      <c r="AE61">
        <v>100.49769999999999</v>
      </c>
      <c r="AF61">
        <v>101.42319999999999</v>
      </c>
    </row>
    <row r="62" spans="1:32" x14ac:dyDescent="0.4">
      <c r="A62" s="92" t="str">
        <f t="shared" si="7"/>
        <v>2021-Sep</v>
      </c>
      <c r="B62" s="113">
        <f t="shared" si="8"/>
        <v>2.8629192068079456E-2</v>
      </c>
      <c r="C62" s="113">
        <f t="shared" si="9"/>
        <v>1.4854919332080829E-2</v>
      </c>
      <c r="D62" s="113">
        <f t="shared" si="10"/>
        <v>2.4257703892405003E-2</v>
      </c>
      <c r="E62" s="113">
        <f t="shared" si="11"/>
        <v>1.1867588352852509E-2</v>
      </c>
      <c r="F62" s="113">
        <f t="shared" si="4"/>
        <v>-5.9772567849281089E-4</v>
      </c>
      <c r="G62" s="113">
        <f t="shared" si="5"/>
        <v>-3.4378435149279296E-3</v>
      </c>
      <c r="H62" t="s">
        <v>3080</v>
      </c>
      <c r="J62">
        <v>101.0714</v>
      </c>
      <c r="K62">
        <v>103.27249999999999</v>
      </c>
      <c r="L62">
        <v>101.7013</v>
      </c>
      <c r="M62">
        <v>102.7794</v>
      </c>
      <c r="N62">
        <v>104.0531</v>
      </c>
      <c r="O62">
        <v>100.6636</v>
      </c>
      <c r="P62">
        <v>101.7189</v>
      </c>
      <c r="Q62">
        <v>101.8141</v>
      </c>
      <c r="R62">
        <v>102.4605</v>
      </c>
      <c r="S62">
        <v>103.1417</v>
      </c>
      <c r="T62">
        <v>101.9341</v>
      </c>
      <c r="U62">
        <v>101.15649999999999</v>
      </c>
      <c r="V62">
        <v>102.5821</v>
      </c>
      <c r="W62">
        <v>101.6356</v>
      </c>
      <c r="X62">
        <v>101.16289999999999</v>
      </c>
      <c r="Y62" t="s">
        <v>2946</v>
      </c>
      <c r="Z62">
        <v>103.2003</v>
      </c>
      <c r="AA62">
        <v>100.32940000000001</v>
      </c>
      <c r="AB62">
        <v>100.80889999999999</v>
      </c>
      <c r="AC62">
        <v>97.18168</v>
      </c>
      <c r="AD62">
        <v>101.3772</v>
      </c>
      <c r="AE62">
        <v>100.3426</v>
      </c>
      <c r="AF62">
        <v>101.37860000000001</v>
      </c>
    </row>
    <row r="63" spans="1:32" x14ac:dyDescent="0.4">
      <c r="A63" s="92" t="str">
        <f t="shared" si="7"/>
        <v>2021-Oct</v>
      </c>
      <c r="B63" s="113">
        <f t="shared" si="8"/>
        <v>2.5243739988741298E-2</v>
      </c>
      <c r="C63" s="113">
        <f t="shared" si="9"/>
        <v>9.5491288592897128E-3</v>
      </c>
      <c r="D63" s="113">
        <f t="shared" si="10"/>
        <v>2.0045758926319657E-2</v>
      </c>
      <c r="E63" s="113">
        <f t="shared" si="11"/>
        <v>4.5882014844762509E-3</v>
      </c>
      <c r="F63" s="113">
        <f t="shared" si="4"/>
        <v>-4.0728969468095677E-4</v>
      </c>
      <c r="G63" s="113">
        <f t="shared" si="5"/>
        <v>-3.3907169660702952E-3</v>
      </c>
      <c r="H63" t="s">
        <v>3081</v>
      </c>
      <c r="J63">
        <v>100.86320000000001</v>
      </c>
      <c r="K63">
        <v>103.21080000000001</v>
      </c>
      <c r="L63">
        <v>101.7252</v>
      </c>
      <c r="M63">
        <v>102.64</v>
      </c>
      <c r="N63">
        <v>103.9601</v>
      </c>
      <c r="O63">
        <v>100.636</v>
      </c>
      <c r="P63">
        <v>101.374</v>
      </c>
      <c r="Q63">
        <v>101.8994</v>
      </c>
      <c r="R63">
        <v>102.41889999999999</v>
      </c>
      <c r="S63">
        <v>103.03919999999999</v>
      </c>
      <c r="T63">
        <v>101.68129999999999</v>
      </c>
      <c r="U63">
        <v>101.1153</v>
      </c>
      <c r="V63">
        <v>102.46339999999999</v>
      </c>
      <c r="W63">
        <v>101.5706</v>
      </c>
      <c r="X63">
        <v>101.0487</v>
      </c>
      <c r="Y63" t="s">
        <v>2946</v>
      </c>
      <c r="Z63">
        <v>102.6341</v>
      </c>
      <c r="AA63">
        <v>99.936449999999994</v>
      </c>
      <c r="AB63">
        <v>100.8212</v>
      </c>
      <c r="AC63">
        <v>98.528049999999993</v>
      </c>
      <c r="AD63">
        <v>101.4477</v>
      </c>
      <c r="AE63">
        <v>100.2115</v>
      </c>
      <c r="AF63">
        <v>101.3486</v>
      </c>
    </row>
    <row r="64" spans="1:32" x14ac:dyDescent="0.4">
      <c r="A64" s="92" t="str">
        <f t="shared" si="7"/>
        <v>2021-Nov</v>
      </c>
      <c r="B64" s="113">
        <f t="shared" si="8"/>
        <v>2.1301943432119552E-2</v>
      </c>
      <c r="C64" s="113">
        <f t="shared" si="9"/>
        <v>4.9806005608157289E-3</v>
      </c>
      <c r="D64" s="113">
        <f t="shared" si="10"/>
        <v>1.559716559122748E-2</v>
      </c>
      <c r="E64" s="113">
        <f t="shared" si="11"/>
        <v>-1.9993404644789159E-3</v>
      </c>
      <c r="F64" s="113">
        <f t="shared" si="4"/>
        <v>-3.4218362601912133E-4</v>
      </c>
      <c r="G64" s="113">
        <f t="shared" si="5"/>
        <v>-2.891273896659885E-3</v>
      </c>
      <c r="H64" t="s">
        <v>3082</v>
      </c>
      <c r="J64">
        <v>100.70350000000001</v>
      </c>
      <c r="K64">
        <v>103.1216</v>
      </c>
      <c r="L64">
        <v>101.6991</v>
      </c>
      <c r="M64">
        <v>102.4563</v>
      </c>
      <c r="N64">
        <v>103.69119999999999</v>
      </c>
      <c r="O64">
        <v>100.6247</v>
      </c>
      <c r="P64">
        <v>101.0809</v>
      </c>
      <c r="Q64">
        <v>101.9691</v>
      </c>
      <c r="R64">
        <v>102.2227</v>
      </c>
      <c r="S64">
        <v>102.82080000000001</v>
      </c>
      <c r="T64">
        <v>101.331</v>
      </c>
      <c r="U64">
        <v>101.08069999999999</v>
      </c>
      <c r="V64">
        <v>102.2619</v>
      </c>
      <c r="W64">
        <v>101.4837</v>
      </c>
      <c r="X64">
        <v>100.8895</v>
      </c>
      <c r="Y64" t="s">
        <v>2946</v>
      </c>
      <c r="Z64">
        <v>102.0491</v>
      </c>
      <c r="AA64">
        <v>99.596599999999995</v>
      </c>
      <c r="AB64">
        <v>100.8203</v>
      </c>
      <c r="AC64">
        <v>98.636009999999999</v>
      </c>
      <c r="AD64">
        <v>101.5295</v>
      </c>
      <c r="AE64">
        <v>100.0184</v>
      </c>
      <c r="AF64">
        <v>101.3206</v>
      </c>
    </row>
    <row r="65" spans="1:32" x14ac:dyDescent="0.4">
      <c r="A65" s="92" t="str">
        <f t="shared" si="7"/>
        <v>2021-Dec</v>
      </c>
      <c r="B65" s="113">
        <f t="shared" si="8"/>
        <v>1.5712966930597094E-2</v>
      </c>
      <c r="C65" s="113">
        <f t="shared" si="9"/>
        <v>1.6285852460096173E-4</v>
      </c>
      <c r="D65" s="113">
        <f t="shared" si="10"/>
        <v>1.0802852052193668E-2</v>
      </c>
      <c r="E65" s="113">
        <f t="shared" si="11"/>
        <v>-7.7715466351829798E-3</v>
      </c>
      <c r="F65" s="113">
        <f t="shared" si="4"/>
        <v>-5.2730145319523913E-4</v>
      </c>
      <c r="G65" s="113">
        <f t="shared" si="5"/>
        <v>-2.2833195984602872E-3</v>
      </c>
      <c r="H65" t="s">
        <v>3083</v>
      </c>
      <c r="J65">
        <v>100.6101</v>
      </c>
      <c r="K65">
        <v>102.98690000000001</v>
      </c>
      <c r="L65">
        <v>101.6071</v>
      </c>
      <c r="M65">
        <v>102.249</v>
      </c>
      <c r="N65">
        <v>103.2503</v>
      </c>
      <c r="O65">
        <v>100.6223</v>
      </c>
      <c r="P65">
        <v>100.8501</v>
      </c>
      <c r="Q65">
        <v>102.0059</v>
      </c>
      <c r="R65">
        <v>101.9024</v>
      </c>
      <c r="S65">
        <v>102.49509999999999</v>
      </c>
      <c r="T65">
        <v>100.8235</v>
      </c>
      <c r="U65">
        <v>101.0274</v>
      </c>
      <c r="V65">
        <v>101.9683</v>
      </c>
      <c r="W65">
        <v>101.3569</v>
      </c>
      <c r="X65">
        <v>100.71729999999999</v>
      </c>
      <c r="Y65" t="s">
        <v>2946</v>
      </c>
      <c r="Z65">
        <v>101.5112</v>
      </c>
      <c r="AA65">
        <v>99.292050000000003</v>
      </c>
      <c r="AB65">
        <v>100.806</v>
      </c>
      <c r="AC65">
        <v>98.661609999999996</v>
      </c>
      <c r="AD65">
        <v>101.5988</v>
      </c>
      <c r="AE65">
        <v>99.839680000000001</v>
      </c>
      <c r="AF65">
        <v>101.2704</v>
      </c>
    </row>
    <row r="66" spans="1:32" x14ac:dyDescent="0.4">
      <c r="A66" s="92" t="str">
        <f t="shared" si="7"/>
        <v>2022-Jan</v>
      </c>
      <c r="B66" s="113">
        <f t="shared" si="8"/>
        <v>1.0978568459423022E-2</v>
      </c>
      <c r="C66" s="113">
        <f t="shared" si="9"/>
        <v>-3.7620251508625469E-3</v>
      </c>
      <c r="D66" s="113">
        <f t="shared" si="10"/>
        <v>6.1151989856842448E-3</v>
      </c>
      <c r="E66" s="113">
        <f t="shared" si="11"/>
        <v>-1.297850643238152E-2</v>
      </c>
      <c r="F66" s="113">
        <f t="shared" si="4"/>
        <v>-8.9183726395025698E-4</v>
      </c>
      <c r="G66" s="113">
        <f t="shared" si="5"/>
        <v>-1.8810095379181435E-3</v>
      </c>
      <c r="H66" t="s">
        <v>3084</v>
      </c>
      <c r="J66">
        <v>100.5728</v>
      </c>
      <c r="K66">
        <v>102.8126</v>
      </c>
      <c r="L66">
        <v>101.4372</v>
      </c>
      <c r="M66">
        <v>102.0116</v>
      </c>
      <c r="N66">
        <v>102.6343</v>
      </c>
      <c r="O66">
        <v>100.6177</v>
      </c>
      <c r="P66">
        <v>100.6604</v>
      </c>
      <c r="Q66">
        <v>102.0322</v>
      </c>
      <c r="R66">
        <v>101.4811</v>
      </c>
      <c r="S66">
        <v>102.0992</v>
      </c>
      <c r="T66">
        <v>100.1182</v>
      </c>
      <c r="U66">
        <v>100.93729999999999</v>
      </c>
      <c r="V66">
        <v>101.5676</v>
      </c>
      <c r="W66">
        <v>101.1755</v>
      </c>
      <c r="X66">
        <v>100.5235</v>
      </c>
      <c r="Y66" t="s">
        <v>2946</v>
      </c>
      <c r="Z66">
        <v>101.0643</v>
      </c>
      <c r="AA66">
        <v>99.000749999999996</v>
      </c>
      <c r="AB66">
        <v>100.7773</v>
      </c>
      <c r="AC66">
        <v>98.6554</v>
      </c>
      <c r="AD66">
        <v>101.6326</v>
      </c>
      <c r="AE66">
        <v>99.664510000000007</v>
      </c>
      <c r="AF66">
        <v>101.18600000000001</v>
      </c>
    </row>
    <row r="67" spans="1:32" x14ac:dyDescent="0.4">
      <c r="A67" s="92" t="str">
        <f t="shared" si="7"/>
        <v>2022-Feb</v>
      </c>
      <c r="B67" s="113">
        <f t="shared" si="8"/>
        <v>4.6942468600505993E-3</v>
      </c>
      <c r="C67" s="113">
        <f t="shared" si="9"/>
        <v>-7.9096771641082864E-3</v>
      </c>
      <c r="D67" s="113">
        <f t="shared" si="10"/>
        <v>1.0407511681140846E-3</v>
      </c>
      <c r="E67" s="113">
        <f t="shared" si="11"/>
        <v>-1.7467522120346857E-2</v>
      </c>
      <c r="F67" s="113">
        <f t="shared" si="4"/>
        <v>-1.347371090766214E-3</v>
      </c>
      <c r="G67" s="113">
        <f t="shared" si="5"/>
        <v>-1.5348637597307757E-3</v>
      </c>
      <c r="H67" t="s">
        <v>3085</v>
      </c>
      <c r="J67">
        <v>100.57389999999999</v>
      </c>
      <c r="K67">
        <v>102.593</v>
      </c>
      <c r="L67">
        <v>101.18129999999999</v>
      </c>
      <c r="M67">
        <v>101.7128</v>
      </c>
      <c r="N67">
        <v>101.9123</v>
      </c>
      <c r="O67">
        <v>100.5994</v>
      </c>
      <c r="P67">
        <v>100.5059</v>
      </c>
      <c r="Q67">
        <v>102.0202</v>
      </c>
      <c r="R67">
        <v>100.988</v>
      </c>
      <c r="S67">
        <v>101.7064</v>
      </c>
      <c r="T67">
        <v>99.245739999999998</v>
      </c>
      <c r="U67">
        <v>100.8013</v>
      </c>
      <c r="V67">
        <v>101.06489999999999</v>
      </c>
      <c r="W67">
        <v>100.935</v>
      </c>
      <c r="X67">
        <v>100.3043</v>
      </c>
      <c r="Y67" t="s">
        <v>2946</v>
      </c>
      <c r="Z67">
        <v>100.7383</v>
      </c>
      <c r="AA67">
        <v>98.708969999999994</v>
      </c>
      <c r="AB67">
        <v>100.7332</v>
      </c>
      <c r="AC67">
        <v>98.646770000000004</v>
      </c>
      <c r="AD67">
        <v>101.60290000000001</v>
      </c>
      <c r="AE67">
        <v>99.484120000000004</v>
      </c>
      <c r="AF67">
        <v>101.0561</v>
      </c>
    </row>
    <row r="68" spans="1:32" x14ac:dyDescent="0.4">
      <c r="A68" s="92" t="str">
        <f t="shared" si="7"/>
        <v>2022-Mar</v>
      </c>
      <c r="B68" s="113">
        <f t="shared" si="8"/>
        <v>-2.5234479457091341E-3</v>
      </c>
      <c r="C68" s="113">
        <f t="shared" si="9"/>
        <v>-1.2403142089850938E-2</v>
      </c>
      <c r="D68" s="130">
        <f t="shared" si="10"/>
        <v>-4.0923926439885294E-3</v>
      </c>
      <c r="E68" s="113">
        <f t="shared" si="11"/>
        <v>-2.1175279708925299E-2</v>
      </c>
      <c r="F68" s="113">
        <f t="shared" si="4"/>
        <v>-1.9642603815624993E-3</v>
      </c>
      <c r="G68" s="113">
        <f t="shared" si="5"/>
        <v>-1.3252953309208504E-3</v>
      </c>
      <c r="H68" t="s">
        <v>3086</v>
      </c>
      <c r="J68">
        <v>100.593</v>
      </c>
      <c r="K68">
        <v>102.29810000000001</v>
      </c>
      <c r="L68">
        <v>100.8616</v>
      </c>
      <c r="M68">
        <v>101.34690000000001</v>
      </c>
      <c r="N68">
        <v>101.13549999999999</v>
      </c>
      <c r="O68">
        <v>100.57389999999999</v>
      </c>
      <c r="P68">
        <v>100.37269999999999</v>
      </c>
      <c r="Q68">
        <v>101.9182</v>
      </c>
      <c r="R68">
        <v>100.48309999999999</v>
      </c>
      <c r="S68">
        <v>101.3439</v>
      </c>
      <c r="T68">
        <v>98.318759999999997</v>
      </c>
      <c r="U68">
        <v>100.6033</v>
      </c>
      <c r="V68">
        <v>100.5012</v>
      </c>
      <c r="W68">
        <v>100.6391</v>
      </c>
      <c r="X68">
        <v>100.06440000000001</v>
      </c>
      <c r="Y68" t="s">
        <v>2946</v>
      </c>
      <c r="Z68">
        <v>100.5107</v>
      </c>
      <c r="AA68">
        <v>98.424419999999998</v>
      </c>
      <c r="AB68">
        <v>100.6729</v>
      </c>
      <c r="AC68">
        <v>98.694299999999998</v>
      </c>
      <c r="AD68">
        <v>101.5048</v>
      </c>
      <c r="AE68">
        <v>99.308779999999999</v>
      </c>
      <c r="AF68">
        <v>100.8605</v>
      </c>
    </row>
    <row r="69" spans="1:32" x14ac:dyDescent="0.4">
      <c r="A69" s="92" t="str">
        <f t="shared" si="7"/>
        <v>2022-Apr</v>
      </c>
      <c r="B69" s="113">
        <f t="shared" si="8"/>
        <v>-9.1625855164770842E-3</v>
      </c>
      <c r="C69" s="113">
        <f t="shared" si="9"/>
        <v>-1.6362444941517285E-2</v>
      </c>
      <c r="D69" s="130">
        <f t="shared" si="10"/>
        <v>-9.2349587571658454E-3</v>
      </c>
      <c r="E69" s="113">
        <f t="shared" si="11"/>
        <v>-2.4096514578250239E-2</v>
      </c>
      <c r="F69" s="131">
        <f t="shared" si="4"/>
        <v>-2.5883842776529553E-3</v>
      </c>
      <c r="G69" s="131">
        <f t="shared" si="5"/>
        <v>-1.3928090008538119E-3</v>
      </c>
      <c r="H69" t="s">
        <v>3087</v>
      </c>
      <c r="J69">
        <v>100.6157</v>
      </c>
      <c r="K69">
        <v>101.90089999999999</v>
      </c>
      <c r="L69">
        <v>100.5397</v>
      </c>
      <c r="M69">
        <v>100.96469999999999</v>
      </c>
      <c r="N69">
        <v>100.3712</v>
      </c>
      <c r="O69">
        <v>100.545</v>
      </c>
      <c r="P69">
        <v>100.2329</v>
      </c>
      <c r="Q69">
        <v>101.7175</v>
      </c>
      <c r="R69">
        <v>100.02800000000001</v>
      </c>
      <c r="S69">
        <v>101.0544</v>
      </c>
      <c r="T69">
        <v>97.462350000000001</v>
      </c>
      <c r="U69">
        <v>100.3429</v>
      </c>
      <c r="V69">
        <v>99.950090000000003</v>
      </c>
      <c r="W69">
        <v>100.31019999999999</v>
      </c>
      <c r="X69">
        <v>99.822490000000002</v>
      </c>
      <c r="Y69" t="s">
        <v>2946</v>
      </c>
      <c r="Z69">
        <v>100.3412</v>
      </c>
      <c r="AA69">
        <v>98.169700000000006</v>
      </c>
      <c r="AB69">
        <v>100.5966</v>
      </c>
      <c r="AC69">
        <v>98.89049</v>
      </c>
      <c r="AD69">
        <v>101.3614</v>
      </c>
      <c r="AE69">
        <v>99.156930000000003</v>
      </c>
      <c r="AF69">
        <v>100.5962</v>
      </c>
    </row>
    <row r="70" spans="1:32" x14ac:dyDescent="0.4">
      <c r="A70" s="92" t="str">
        <f t="shared" si="7"/>
        <v>2022-May</v>
      </c>
      <c r="B70" s="113">
        <f t="shared" si="8"/>
        <v>-1.4890566193926813E-2</v>
      </c>
      <c r="C70" s="113">
        <f t="shared" si="9"/>
        <v>-1.9368996764136504E-2</v>
      </c>
      <c r="D70" s="130">
        <f t="shared" si="10"/>
        <v>-1.3012834238318116E-2</v>
      </c>
      <c r="E70" s="113">
        <f t="shared" si="11"/>
        <v>-2.6109208206919199E-2</v>
      </c>
      <c r="F70" s="131">
        <f t="shared" si="4"/>
        <v>-3.1452150575675963E-3</v>
      </c>
      <c r="G70" s="131">
        <f t="shared" si="5"/>
        <v>-1.7718733070678505E-3</v>
      </c>
      <c r="H70" t="s">
        <v>3088</v>
      </c>
      <c r="J70">
        <v>100.6186</v>
      </c>
      <c r="K70">
        <v>101.3955</v>
      </c>
      <c r="L70">
        <v>100.244</v>
      </c>
      <c r="M70">
        <v>100.58880000000001</v>
      </c>
      <c r="N70">
        <v>99.640039999999999</v>
      </c>
      <c r="O70">
        <v>100.51090000000001</v>
      </c>
      <c r="P70">
        <v>100.0553</v>
      </c>
      <c r="Q70">
        <v>101.33499999999999</v>
      </c>
      <c r="R70">
        <v>99.637730000000005</v>
      </c>
      <c r="S70">
        <v>100.81229999999999</v>
      </c>
      <c r="T70">
        <v>96.732069999999993</v>
      </c>
      <c r="U70">
        <v>100.0273</v>
      </c>
      <c r="V70">
        <v>99.443119999999993</v>
      </c>
      <c r="W70">
        <v>99.961320000000001</v>
      </c>
      <c r="X70">
        <v>99.582490000000007</v>
      </c>
      <c r="Y70" t="s">
        <v>2946</v>
      </c>
      <c r="Z70">
        <v>100.1858</v>
      </c>
      <c r="AA70">
        <v>97.967830000000006</v>
      </c>
      <c r="AB70">
        <v>100.5063</v>
      </c>
      <c r="AC70">
        <v>99.151700000000005</v>
      </c>
      <c r="AD70">
        <v>101.2081</v>
      </c>
      <c r="AE70">
        <v>99.033590000000004</v>
      </c>
      <c r="AF70">
        <v>100.2604</v>
      </c>
    </row>
    <row r="71" spans="1:32" x14ac:dyDescent="0.4">
      <c r="A71" s="92" t="str">
        <f t="shared" si="7"/>
        <v>2022-Jun</v>
      </c>
      <c r="B71" s="113">
        <f t="shared" si="8"/>
        <v>-1.9847242624089545E-2</v>
      </c>
      <c r="C71" s="113">
        <f t="shared" si="9"/>
        <v>-2.1671673593654073E-2</v>
      </c>
      <c r="D71" s="130">
        <f t="shared" si="10"/>
        <v>-1.6182456334236872E-2</v>
      </c>
      <c r="E71" s="113">
        <f t="shared" si="11"/>
        <v>-2.7177061001754099E-2</v>
      </c>
      <c r="F71" s="131">
        <f t="shared" si="4"/>
        <v>-3.2350168404025048E-3</v>
      </c>
      <c r="G71" s="131">
        <f t="shared" si="5"/>
        <v>-2.2408608039753419E-3</v>
      </c>
      <c r="H71" t="s">
        <v>3089</v>
      </c>
      <c r="J71">
        <v>100.5882</v>
      </c>
      <c r="K71">
        <v>100.8327</v>
      </c>
      <c r="L71">
        <v>99.98921</v>
      </c>
      <c r="M71">
        <v>100.2116</v>
      </c>
      <c r="N71">
        <v>98.957980000000006</v>
      </c>
      <c r="O71">
        <v>100.4721</v>
      </c>
      <c r="P71">
        <v>99.831090000000003</v>
      </c>
      <c r="Q71">
        <v>100.8612</v>
      </c>
      <c r="R71">
        <v>99.311109999999999</v>
      </c>
      <c r="S71">
        <v>100.5997</v>
      </c>
      <c r="T71">
        <v>96.137870000000007</v>
      </c>
      <c r="U71">
        <v>99.703710000000001</v>
      </c>
      <c r="V71">
        <v>98.986379999999997</v>
      </c>
      <c r="W71">
        <v>99.62106</v>
      </c>
      <c r="X71">
        <v>99.358339999999998</v>
      </c>
      <c r="Y71" t="s">
        <v>2946</v>
      </c>
      <c r="Z71">
        <v>100.04049999999999</v>
      </c>
      <c r="AA71">
        <v>97.832999999999998</v>
      </c>
      <c r="AB71">
        <v>100.4054</v>
      </c>
      <c r="AC71">
        <v>99.349069999999998</v>
      </c>
      <c r="AD71">
        <v>101.0728</v>
      </c>
      <c r="AE71">
        <v>98.937269999999998</v>
      </c>
      <c r="AF71">
        <v>99.904880000000006</v>
      </c>
    </row>
    <row r="72" spans="1:32" x14ac:dyDescent="0.4">
      <c r="A72" s="92" t="str">
        <f t="shared" si="7"/>
        <v>2022-Jul</v>
      </c>
      <c r="B72" s="113">
        <f t="shared" si="8"/>
        <v>-2.3298650956838252E-2</v>
      </c>
      <c r="C72" s="113">
        <f t="shared" si="9"/>
        <v>-2.2122234055141576E-2</v>
      </c>
      <c r="D72" s="130">
        <f t="shared" si="10"/>
        <v>-1.841219067928368E-2</v>
      </c>
      <c r="E72" s="113">
        <f t="shared" si="11"/>
        <v>-2.7394854564278925E-2</v>
      </c>
      <c r="F72" s="131">
        <f t="shared" si="4"/>
        <v>-2.7901669857620659E-3</v>
      </c>
      <c r="G72" s="131">
        <f t="shared" si="5"/>
        <v>-2.5425946967022606E-3</v>
      </c>
      <c r="H72" t="s">
        <v>3090</v>
      </c>
      <c r="J72">
        <v>100.5175</v>
      </c>
      <c r="K72">
        <v>100.27370000000001</v>
      </c>
      <c r="L72">
        <v>99.779240000000001</v>
      </c>
      <c r="M72">
        <v>99.846739999999997</v>
      </c>
      <c r="N72">
        <v>98.389790000000005</v>
      </c>
      <c r="O72">
        <v>100.4267</v>
      </c>
      <c r="P72">
        <v>99.577259999999995</v>
      </c>
      <c r="Q72">
        <v>100.4002</v>
      </c>
      <c r="R72">
        <v>99.091449999999995</v>
      </c>
      <c r="S72">
        <v>100.45359999999999</v>
      </c>
      <c r="T72">
        <v>95.680269999999993</v>
      </c>
      <c r="U72">
        <v>99.425520000000006</v>
      </c>
      <c r="V72">
        <v>98.597849999999994</v>
      </c>
      <c r="W72">
        <v>99.324960000000004</v>
      </c>
      <c r="X72">
        <v>99.168539999999993</v>
      </c>
      <c r="Y72" t="s">
        <v>2946</v>
      </c>
      <c r="Z72">
        <v>99.917720000000003</v>
      </c>
      <c r="AA72">
        <v>97.766689999999997</v>
      </c>
      <c r="AB72">
        <v>100.29770000000001</v>
      </c>
      <c r="AC72">
        <v>99.401820000000001</v>
      </c>
      <c r="AD72">
        <v>100.962</v>
      </c>
      <c r="AE72">
        <v>98.864109999999997</v>
      </c>
      <c r="AF72">
        <v>99.588589999999996</v>
      </c>
    </row>
    <row r="73" spans="1:32" x14ac:dyDescent="0.4">
      <c r="A73" s="92" t="str">
        <f t="shared" si="7"/>
        <v>2022-Aug</v>
      </c>
      <c r="B73" s="113">
        <f t="shared" si="8"/>
        <v>-2.5477299213721327E-2</v>
      </c>
      <c r="C73" s="113">
        <f t="shared" si="9"/>
        <v>-2.2130730713136759E-2</v>
      </c>
      <c r="D73" s="130">
        <f t="shared" si="10"/>
        <v>-1.9834217572146984E-2</v>
      </c>
      <c r="E73" s="113">
        <f t="shared" si="11"/>
        <v>-2.7094987939625614E-2</v>
      </c>
      <c r="F73" s="131">
        <f t="shared" si="4"/>
        <v>-2.1732850881746035E-3</v>
      </c>
      <c r="G73" s="131">
        <f t="shared" si="5"/>
        <v>-2.7419914948452195E-3</v>
      </c>
      <c r="H73" t="s">
        <v>3091</v>
      </c>
      <c r="J73">
        <v>100.39879999999999</v>
      </c>
      <c r="K73">
        <v>99.767439999999993</v>
      </c>
      <c r="L73">
        <v>99.603939999999994</v>
      </c>
      <c r="M73">
        <v>99.538449999999997</v>
      </c>
      <c r="N73">
        <v>98.000630000000001</v>
      </c>
      <c r="O73">
        <v>100.37260000000001</v>
      </c>
      <c r="P73">
        <v>99.304220000000001</v>
      </c>
      <c r="Q73">
        <v>100.0393</v>
      </c>
      <c r="R73">
        <v>99.013760000000005</v>
      </c>
      <c r="S73">
        <v>100.4008</v>
      </c>
      <c r="T73">
        <v>95.352310000000003</v>
      </c>
      <c r="U73">
        <v>99.209440000000001</v>
      </c>
      <c r="V73">
        <v>98.300989999999999</v>
      </c>
      <c r="W73">
        <v>99.09093</v>
      </c>
      <c r="X73">
        <v>99.03107</v>
      </c>
      <c r="Y73" t="s">
        <v>2946</v>
      </c>
      <c r="Z73">
        <v>99.830979999999997</v>
      </c>
      <c r="AA73">
        <v>97.790760000000006</v>
      </c>
      <c r="AB73">
        <v>100.1861</v>
      </c>
      <c r="AC73">
        <v>99.30771</v>
      </c>
      <c r="AD73">
        <v>100.8699</v>
      </c>
      <c r="AE73">
        <v>98.826920000000001</v>
      </c>
      <c r="AF73">
        <v>99.337469999999996</v>
      </c>
    </row>
    <row r="74" spans="1:32" x14ac:dyDescent="0.4">
      <c r="A74" s="92" t="str">
        <f t="shared" si="7"/>
        <v>2022-Sep</v>
      </c>
      <c r="B74" s="113">
        <f t="shared" si="8"/>
        <v>-2.6743090019638704E-2</v>
      </c>
      <c r="C74" s="113">
        <f t="shared" si="9"/>
        <v>-2.1897553352068666E-2</v>
      </c>
      <c r="D74" s="130">
        <f t="shared" si="10"/>
        <v>-2.0915907529422295E-2</v>
      </c>
      <c r="E74" s="113">
        <f t="shared" si="11"/>
        <v>-2.6824513438505559E-2</v>
      </c>
      <c r="F74" s="131">
        <f t="shared" si="4"/>
        <v>-1.7006446160768851E-3</v>
      </c>
      <c r="G74" s="131">
        <f t="shared" si="5"/>
        <v>-3.1607921596886746E-3</v>
      </c>
      <c r="H74" t="s">
        <v>3092</v>
      </c>
      <c r="J74">
        <v>100.2159</v>
      </c>
      <c r="K74">
        <v>99.335719999999995</v>
      </c>
      <c r="L74">
        <v>99.450569999999999</v>
      </c>
      <c r="M74">
        <v>99.319649999999996</v>
      </c>
      <c r="N74">
        <v>97.800799999999995</v>
      </c>
      <c r="O74">
        <v>100.30289999999999</v>
      </c>
      <c r="P74">
        <v>98.990340000000003</v>
      </c>
      <c r="Q74">
        <v>99.847729999999999</v>
      </c>
      <c r="R74">
        <v>99.048509999999993</v>
      </c>
      <c r="S74">
        <v>100.3767</v>
      </c>
      <c r="T74">
        <v>95.192329999999998</v>
      </c>
      <c r="U74">
        <v>99.040719999999993</v>
      </c>
      <c r="V74">
        <v>98.114909999999995</v>
      </c>
      <c r="W74">
        <v>98.917550000000006</v>
      </c>
      <c r="X74">
        <v>98.947680000000005</v>
      </c>
      <c r="Y74" t="s">
        <v>2946</v>
      </c>
      <c r="Z74">
        <v>99.738780000000006</v>
      </c>
      <c r="AA74">
        <v>97.910899999999998</v>
      </c>
      <c r="AB74">
        <v>100.0744</v>
      </c>
      <c r="AC74">
        <v>99.13946</v>
      </c>
      <c r="AD74">
        <v>100.7937</v>
      </c>
      <c r="AE74">
        <v>98.833150000000003</v>
      </c>
      <c r="AF74">
        <v>99.147620000000003</v>
      </c>
    </row>
    <row r="75" spans="1:32" x14ac:dyDescent="0.4">
      <c r="A75" s="92" t="str">
        <f t="shared" si="7"/>
        <v>2022-Oct</v>
      </c>
      <c r="B75" s="113">
        <f t="shared" si="8"/>
        <v>-2.7164848883436843E-2</v>
      </c>
      <c r="C75" s="113">
        <f t="shared" si="9"/>
        <v>-2.1022041847148953E-2</v>
      </c>
      <c r="D75" s="130">
        <f t="shared" si="10"/>
        <v>-2.1814898437724106E-2</v>
      </c>
      <c r="E75" s="113">
        <f t="shared" si="11"/>
        <v>-2.6970820920551586E-2</v>
      </c>
      <c r="F75" s="131">
        <f t="shared" si="4"/>
        <v>-1.3251115298837934E-3</v>
      </c>
      <c r="G75" s="131">
        <f t="shared" si="5"/>
        <v>-3.5405474918057678E-3</v>
      </c>
      <c r="H75" t="s">
        <v>3093</v>
      </c>
      <c r="J75">
        <v>99.997020000000006</v>
      </c>
      <c r="K75">
        <v>98.985330000000005</v>
      </c>
      <c r="L75">
        <v>99.33211</v>
      </c>
      <c r="M75">
        <v>99.220339999999993</v>
      </c>
      <c r="N75">
        <v>97.812370000000001</v>
      </c>
      <c r="O75">
        <v>100.22929999999999</v>
      </c>
      <c r="P75">
        <v>98.639859999999999</v>
      </c>
      <c r="Q75">
        <v>99.812479999999994</v>
      </c>
      <c r="R75">
        <v>99.15231</v>
      </c>
      <c r="S75">
        <v>100.37309999999999</v>
      </c>
      <c r="T75">
        <v>95.260949999999994</v>
      </c>
      <c r="U75">
        <v>98.909480000000002</v>
      </c>
      <c r="V75">
        <v>98.071250000000006</v>
      </c>
      <c r="W75">
        <v>98.811449999999994</v>
      </c>
      <c r="X75">
        <v>98.924449999999993</v>
      </c>
      <c r="Y75" t="s">
        <v>2946</v>
      </c>
      <c r="Z75">
        <v>99.614260000000002</v>
      </c>
      <c r="AA75">
        <v>98.125579999999999</v>
      </c>
      <c r="AB75">
        <v>99.966250000000002</v>
      </c>
      <c r="AC75">
        <v>99.007769999999994</v>
      </c>
      <c r="AD75">
        <v>100.73260000000001</v>
      </c>
      <c r="AE75">
        <v>98.892619999999994</v>
      </c>
      <c r="AF75">
        <v>99.010059999999996</v>
      </c>
    </row>
    <row r="76" spans="1:32" x14ac:dyDescent="0.4">
      <c r="A76" s="92" t="str">
        <f t="shared" si="7"/>
        <v>2022-Nov</v>
      </c>
      <c r="B76" s="113">
        <f t="shared" si="8"/>
        <v>-2.6786075005148624E-2</v>
      </c>
      <c r="C76" s="113">
        <f t="shared" si="9"/>
        <v>-1.9117648516446262E-2</v>
      </c>
      <c r="D76" s="130">
        <f t="shared" si="10"/>
        <v>-2.2480651598178358E-2</v>
      </c>
      <c r="E76" s="113">
        <f t="shared" si="11"/>
        <v>-2.758473658228211E-2</v>
      </c>
      <c r="F76" s="131">
        <f t="shared" si="4"/>
        <v>-1.0225511245232077E-3</v>
      </c>
      <c r="G76" s="131">
        <f t="shared" si="5"/>
        <v>-3.520382125441035E-3</v>
      </c>
      <c r="H76" t="s">
        <v>3094</v>
      </c>
      <c r="J76">
        <v>99.789760000000001</v>
      </c>
      <c r="K76">
        <v>98.714590000000001</v>
      </c>
      <c r="L76">
        <v>99.234089999999995</v>
      </c>
      <c r="M76">
        <v>99.248170000000002</v>
      </c>
      <c r="N76">
        <v>98.017110000000002</v>
      </c>
      <c r="O76">
        <v>100.1537</v>
      </c>
      <c r="P76">
        <v>98.292609999999996</v>
      </c>
      <c r="Q76">
        <v>99.899699999999996</v>
      </c>
      <c r="R76">
        <v>99.278109999999998</v>
      </c>
      <c r="S76">
        <v>100.4273</v>
      </c>
      <c r="T76">
        <v>95.526499999999999</v>
      </c>
      <c r="U76">
        <v>98.808340000000001</v>
      </c>
      <c r="V76">
        <v>98.158339999999995</v>
      </c>
      <c r="W76">
        <v>98.765349999999998</v>
      </c>
      <c r="X76">
        <v>98.960729999999998</v>
      </c>
      <c r="Y76" t="s">
        <v>2946</v>
      </c>
      <c r="Z76">
        <v>99.452510000000004</v>
      </c>
      <c r="AA76">
        <v>98.445049999999995</v>
      </c>
      <c r="AB76">
        <v>99.865020000000001</v>
      </c>
      <c r="AC76">
        <v>98.85651</v>
      </c>
      <c r="AD76">
        <v>100.6767</v>
      </c>
      <c r="AE76">
        <v>99.00967</v>
      </c>
      <c r="AF76">
        <v>98.915210000000002</v>
      </c>
    </row>
    <row r="77" spans="1:32" x14ac:dyDescent="0.4">
      <c r="A77" s="92" t="str">
        <f t="shared" si="7"/>
        <v>2022-Dec</v>
      </c>
      <c r="B77" s="113">
        <f t="shared" si="8"/>
        <v>-2.5541921664928524E-2</v>
      </c>
      <c r="C77" s="113">
        <f t="shared" si="9"/>
        <v>-1.6447224061804655E-2</v>
      </c>
      <c r="D77" s="113">
        <f t="shared" si="10"/>
        <v>-2.2616240742610372E-2</v>
      </c>
      <c r="E77" s="113">
        <f t="shared" si="11"/>
        <v>-2.8164771279354128E-2</v>
      </c>
      <c r="F77" s="113">
        <f t="shared" si="4"/>
        <v>-6.6593568923434265E-4</v>
      </c>
      <c r="G77" s="113">
        <f t="shared" si="5"/>
        <v>-2.8784463043558528E-3</v>
      </c>
      <c r="H77" t="s">
        <v>3095</v>
      </c>
      <c r="J77">
        <v>99.61515</v>
      </c>
      <c r="K77">
        <v>98.510339999999999</v>
      </c>
      <c r="L77">
        <v>99.143410000000003</v>
      </c>
      <c r="M77">
        <v>99.368440000000007</v>
      </c>
      <c r="N77">
        <v>98.316450000000003</v>
      </c>
      <c r="O77">
        <v>100.0933</v>
      </c>
      <c r="P77">
        <v>98.009680000000003</v>
      </c>
      <c r="Q77">
        <v>100.04130000000001</v>
      </c>
      <c r="R77">
        <v>99.37867</v>
      </c>
      <c r="S77">
        <v>100.5474</v>
      </c>
      <c r="T77">
        <v>95.922809999999998</v>
      </c>
      <c r="U77">
        <v>98.742540000000005</v>
      </c>
      <c r="V77">
        <v>98.327150000000003</v>
      </c>
      <c r="W77">
        <v>98.768050000000002</v>
      </c>
      <c r="X77">
        <v>99.060779999999994</v>
      </c>
      <c r="Y77" t="s">
        <v>2946</v>
      </c>
      <c r="Z77">
        <v>99.29204</v>
      </c>
      <c r="AA77">
        <v>98.86448</v>
      </c>
      <c r="AB77">
        <v>99.77328</v>
      </c>
      <c r="AC77">
        <v>98.931979999999996</v>
      </c>
      <c r="AD77">
        <v>100.5916</v>
      </c>
      <c r="AE77">
        <v>99.205730000000003</v>
      </c>
      <c r="AF77">
        <v>98.859819999999999</v>
      </c>
    </row>
    <row r="78" spans="1:32" x14ac:dyDescent="0.4">
      <c r="A78" s="92" t="str">
        <f t="shared" si="7"/>
        <v>2023-Jan</v>
      </c>
      <c r="B78" s="113">
        <f t="shared" si="8"/>
        <v>-2.3497487039846554E-2</v>
      </c>
      <c r="C78" s="113">
        <f t="shared" si="9"/>
        <v>-1.3266052216645896E-2</v>
      </c>
      <c r="D78" s="113">
        <f t="shared" si="10"/>
        <v>-2.2146025304817907E-2</v>
      </c>
      <c r="E78" s="113">
        <f t="shared" si="11"/>
        <v>-2.8190033021923244E-2</v>
      </c>
      <c r="F78" s="113">
        <f t="shared" si="4"/>
        <v>-4.1117030208071004E-4</v>
      </c>
      <c r="G78" s="113">
        <f t="shared" si="5"/>
        <v>-1.9069544967396101E-3</v>
      </c>
      <c r="H78" t="s">
        <v>3096</v>
      </c>
      <c r="J78">
        <v>99.466999999999999</v>
      </c>
      <c r="K78">
        <v>98.356610000000003</v>
      </c>
      <c r="L78">
        <v>99.073419999999999</v>
      </c>
      <c r="M78">
        <v>99.508349999999993</v>
      </c>
      <c r="N78">
        <v>98.612629999999996</v>
      </c>
      <c r="O78">
        <v>100.0536</v>
      </c>
      <c r="P78">
        <v>97.822779999999995</v>
      </c>
      <c r="Q78">
        <v>100.20010000000001</v>
      </c>
      <c r="R78">
        <v>99.426199999999994</v>
      </c>
      <c r="S78">
        <v>100.7055</v>
      </c>
      <c r="T78">
        <v>96.401929999999993</v>
      </c>
      <c r="U78">
        <v>98.701939999999993</v>
      </c>
      <c r="V78">
        <v>98.526259999999994</v>
      </c>
      <c r="W78">
        <v>98.79813</v>
      </c>
      <c r="X78">
        <v>99.189949999999996</v>
      </c>
      <c r="Y78" t="s">
        <v>2946</v>
      </c>
      <c r="Z78">
        <v>99.167739999999995</v>
      </c>
      <c r="AA78">
        <v>99.346220000000002</v>
      </c>
      <c r="AB78">
        <v>99.694739999999996</v>
      </c>
      <c r="AC78">
        <v>98.828100000000006</v>
      </c>
      <c r="AD78">
        <v>100.4598</v>
      </c>
      <c r="AE78">
        <v>99.432640000000006</v>
      </c>
      <c r="AF78">
        <v>98.830650000000006</v>
      </c>
    </row>
    <row r="79" spans="1:32" x14ac:dyDescent="0.4">
      <c r="A79" s="92" t="str">
        <f t="shared" si="7"/>
        <v>2023-Feb</v>
      </c>
      <c r="B79" s="113">
        <f t="shared" si="8"/>
        <v>-2.0794867984346266E-2</v>
      </c>
      <c r="C79" s="113">
        <f t="shared" si="9"/>
        <v>-9.6207241364527629E-3</v>
      </c>
      <c r="D79" s="113">
        <f t="shared" si="10"/>
        <v>-2.1115600691657743E-2</v>
      </c>
      <c r="E79" s="113">
        <f t="shared" si="11"/>
        <v>-2.7304367206303248E-2</v>
      </c>
      <c r="F79" s="113">
        <f t="shared" si="4"/>
        <v>-2.9502966203087677E-4</v>
      </c>
      <c r="G79" s="113">
        <f t="shared" si="5"/>
        <v>-6.2490556902994321E-4</v>
      </c>
      <c r="H79" t="s">
        <v>3097</v>
      </c>
      <c r="J79">
        <v>99.347629999999995</v>
      </c>
      <c r="K79">
        <v>98.221140000000005</v>
      </c>
      <c r="L79">
        <v>99.028229999999994</v>
      </c>
      <c r="M79">
        <v>99.605710000000002</v>
      </c>
      <c r="N79">
        <v>98.845789999999994</v>
      </c>
      <c r="O79">
        <v>100.0356</v>
      </c>
      <c r="P79">
        <v>97.761650000000003</v>
      </c>
      <c r="Q79">
        <v>100.3516</v>
      </c>
      <c r="R79">
        <v>99.410139999999998</v>
      </c>
      <c r="S79">
        <v>100.86839999999999</v>
      </c>
      <c r="T79">
        <v>96.91713</v>
      </c>
      <c r="U79">
        <v>98.672820000000002</v>
      </c>
      <c r="V79">
        <v>98.717410000000001</v>
      </c>
      <c r="W79">
        <v>98.836070000000007</v>
      </c>
      <c r="X79">
        <v>99.339299999999994</v>
      </c>
      <c r="Y79" t="s">
        <v>2946</v>
      </c>
      <c r="Z79">
        <v>99.110020000000006</v>
      </c>
      <c r="AA79">
        <v>99.841549999999998</v>
      </c>
      <c r="AB79">
        <v>99.632710000000003</v>
      </c>
      <c r="AC79">
        <v>98.853880000000004</v>
      </c>
      <c r="AD79">
        <v>100.2764</v>
      </c>
      <c r="AE79">
        <v>99.69032</v>
      </c>
      <c r="AF79">
        <v>98.811580000000006</v>
      </c>
    </row>
    <row r="80" spans="1:32" x14ac:dyDescent="0.4">
      <c r="A80" s="92" t="str">
        <f t="shared" si="7"/>
        <v>2023-Mar</v>
      </c>
      <c r="B80" s="113">
        <f t="shared" si="8"/>
        <v>-1.7556595796266117E-2</v>
      </c>
      <c r="C80" s="113">
        <f t="shared" si="9"/>
        <v>-5.7188170817994433E-3</v>
      </c>
      <c r="D80" s="113">
        <f t="shared" si="10"/>
        <v>-1.930533093844844E-2</v>
      </c>
      <c r="E80" s="113">
        <f t="shared" si="11"/>
        <v>-2.5428527876603879E-2</v>
      </c>
      <c r="F80" s="113">
        <f t="shared" si="4"/>
        <v>-1.1857368624923481E-4</v>
      </c>
      <c r="G80" s="113">
        <f t="shared" si="5"/>
        <v>6.0064452676478197E-4</v>
      </c>
      <c r="H80" t="s">
        <v>3098</v>
      </c>
      <c r="J80">
        <v>99.237669999999994</v>
      </c>
      <c r="K80">
        <v>98.107089999999999</v>
      </c>
      <c r="L80">
        <v>99.010270000000006</v>
      </c>
      <c r="M80">
        <v>99.622730000000004</v>
      </c>
      <c r="N80">
        <v>98.991870000000006</v>
      </c>
      <c r="O80">
        <v>100.0359</v>
      </c>
      <c r="P80">
        <v>97.820369999999997</v>
      </c>
      <c r="Q80">
        <v>100.503</v>
      </c>
      <c r="R80">
        <v>99.345510000000004</v>
      </c>
      <c r="S80">
        <v>101.0369</v>
      </c>
      <c r="T80">
        <v>97.407030000000006</v>
      </c>
      <c r="U80">
        <v>98.661119999999997</v>
      </c>
      <c r="V80">
        <v>98.865039999999993</v>
      </c>
      <c r="W80">
        <v>98.872219999999999</v>
      </c>
      <c r="X80">
        <v>99.492149999999995</v>
      </c>
      <c r="Y80" t="s">
        <v>2946</v>
      </c>
      <c r="Z80">
        <v>99.139420000000001</v>
      </c>
      <c r="AA80">
        <v>100.30710000000001</v>
      </c>
      <c r="AB80">
        <v>99.589209999999994</v>
      </c>
      <c r="AC80">
        <v>99.006370000000004</v>
      </c>
      <c r="AD80">
        <v>100.0498</v>
      </c>
      <c r="AE80">
        <v>99.952799999999996</v>
      </c>
      <c r="AF80">
        <v>98.80847</v>
      </c>
    </row>
    <row r="81" spans="1:32" x14ac:dyDescent="0.4">
      <c r="A81" s="92" t="str">
        <f t="shared" si="7"/>
        <v>2023-Apr</v>
      </c>
      <c r="B81" s="113">
        <f t="shared" si="8"/>
        <v>-1.3923608964990453E-2</v>
      </c>
      <c r="C81" s="113">
        <f t="shared" si="9"/>
        <v>-1.8572968877054175E-3</v>
      </c>
      <c r="D81" s="113">
        <f t="shared" si="10"/>
        <v>-1.6506499214194559E-2</v>
      </c>
      <c r="E81" s="113">
        <f t="shared" si="11"/>
        <v>-2.2608345164112698E-2</v>
      </c>
      <c r="F81" s="113">
        <f t="shared" si="4"/>
        <v>2.5815640446813504E-4</v>
      </c>
      <c r="G81" s="113">
        <f t="shared" si="5"/>
        <v>1.4969274804419452E-3</v>
      </c>
      <c r="H81" t="s">
        <v>3099</v>
      </c>
      <c r="J81">
        <v>99.12321</v>
      </c>
      <c r="K81">
        <v>98.0154</v>
      </c>
      <c r="L81">
        <v>99.014719999999997</v>
      </c>
      <c r="M81">
        <v>99.547910000000002</v>
      </c>
      <c r="N81">
        <v>99.048689999999993</v>
      </c>
      <c r="O81">
        <v>100.0428</v>
      </c>
      <c r="P81">
        <v>97.966800000000006</v>
      </c>
      <c r="Q81">
        <v>100.7206</v>
      </c>
      <c r="R81">
        <v>99.272450000000006</v>
      </c>
      <c r="S81">
        <v>101.1341</v>
      </c>
      <c r="T81">
        <v>97.871030000000005</v>
      </c>
      <c r="U81">
        <v>98.686589999999995</v>
      </c>
      <c r="V81">
        <v>98.9636</v>
      </c>
      <c r="W81">
        <v>98.913520000000005</v>
      </c>
      <c r="X81">
        <v>99.637090000000001</v>
      </c>
      <c r="Y81" t="s">
        <v>2946</v>
      </c>
      <c r="Z81">
        <v>99.257710000000003</v>
      </c>
      <c r="AA81">
        <v>100.7167</v>
      </c>
      <c r="AB81">
        <v>99.564409999999995</v>
      </c>
      <c r="AC81">
        <v>99.114540000000005</v>
      </c>
      <c r="AD81">
        <v>99.815629999999999</v>
      </c>
      <c r="AE81">
        <v>100.1902</v>
      </c>
      <c r="AF81">
        <v>98.844340000000003</v>
      </c>
    </row>
    <row r="82" spans="1:32" x14ac:dyDescent="0.4">
      <c r="A82" s="92" t="str">
        <f t="shared" si="7"/>
        <v>2023-May</v>
      </c>
      <c r="B82" s="113">
        <f t="shared" si="8"/>
        <v>-1.0010171934504264E-2</v>
      </c>
      <c r="C82" s="113">
        <f t="shared" si="9"/>
        <v>1.9545604854829257E-3</v>
      </c>
      <c r="D82" s="113">
        <f t="shared" si="10"/>
        <v>-1.2791807836460611E-2</v>
      </c>
      <c r="E82" s="113">
        <f t="shared" si="11"/>
        <v>-1.8776816420519427E-2</v>
      </c>
      <c r="F82" s="113">
        <f t="shared" si="4"/>
        <v>6.1994238528262358E-4</v>
      </c>
      <c r="G82" s="113">
        <f t="shared" si="5"/>
        <v>2.141337677662225E-3</v>
      </c>
      <c r="H82" t="s">
        <v>3100</v>
      </c>
      <c r="J82">
        <v>99.01155</v>
      </c>
      <c r="K82">
        <v>97.936599999999999</v>
      </c>
      <c r="L82">
        <v>99.040220000000005</v>
      </c>
      <c r="M82">
        <v>99.388069999999999</v>
      </c>
      <c r="N82">
        <v>99.054069999999996</v>
      </c>
      <c r="O82">
        <v>100.0605</v>
      </c>
      <c r="P82">
        <v>98.176580000000001</v>
      </c>
      <c r="Q82">
        <v>100.84269999999999</v>
      </c>
      <c r="R82">
        <v>99.215230000000005</v>
      </c>
      <c r="S82">
        <v>101.08929999999999</v>
      </c>
      <c r="T82">
        <v>98.288709999999995</v>
      </c>
      <c r="U82">
        <v>98.747770000000003</v>
      </c>
      <c r="V82">
        <v>99.017430000000004</v>
      </c>
      <c r="W82">
        <v>98.96069</v>
      </c>
      <c r="X82">
        <v>99.77713</v>
      </c>
      <c r="Y82" t="s">
        <v>2946</v>
      </c>
      <c r="Z82">
        <v>99.443430000000006</v>
      </c>
      <c r="AA82">
        <v>101.07040000000001</v>
      </c>
      <c r="AB82">
        <v>99.555459999999997</v>
      </c>
      <c r="AC82">
        <v>99.465509999999995</v>
      </c>
      <c r="AD82">
        <v>99.604799999999997</v>
      </c>
      <c r="AE82">
        <v>100.42230000000001</v>
      </c>
      <c r="AF82">
        <v>98.901300000000006</v>
      </c>
    </row>
    <row r="83" spans="1:32" x14ac:dyDescent="0.4">
      <c r="A83" s="92" t="str">
        <f t="shared" si="7"/>
        <v>2023-Jun</v>
      </c>
      <c r="B83" s="113">
        <f t="shared" si="8"/>
        <v>-6.0802404632113172E-3</v>
      </c>
      <c r="C83" s="113">
        <f t="shared" si="9"/>
        <v>5.3660316788706197E-3</v>
      </c>
      <c r="D83" s="113">
        <f t="shared" si="10"/>
        <v>-8.6955640868328077E-3</v>
      </c>
      <c r="E83" s="113">
        <f t="shared" si="11"/>
        <v>-1.4256280283026057E-2</v>
      </c>
      <c r="F83" s="113">
        <f t="shared" ref="F83:F104" si="12">U83/U82-1</f>
        <v>9.0088110344166417E-4</v>
      </c>
      <c r="G83" s="113">
        <f t="shared" ref="G83:G104" si="13">P83/P82-1</f>
        <v>2.3558571708242049E-3</v>
      </c>
      <c r="H83" t="s">
        <v>3101</v>
      </c>
      <c r="J83">
        <v>98.906970000000001</v>
      </c>
      <c r="K83">
        <v>97.860690000000005</v>
      </c>
      <c r="L83">
        <v>99.085329999999999</v>
      </c>
      <c r="M83">
        <v>99.199969999999993</v>
      </c>
      <c r="N83">
        <v>99.03595</v>
      </c>
      <c r="O83">
        <v>100.07980000000001</v>
      </c>
      <c r="P83">
        <v>98.407870000000003</v>
      </c>
      <c r="Q83">
        <v>100.871</v>
      </c>
      <c r="R83">
        <v>99.188810000000004</v>
      </c>
      <c r="S83">
        <v>100.8823</v>
      </c>
      <c r="T83">
        <v>98.653819999999996</v>
      </c>
      <c r="U83">
        <v>98.836730000000003</v>
      </c>
      <c r="V83">
        <v>99.049139999999994</v>
      </c>
      <c r="W83">
        <v>99.015339999999995</v>
      </c>
      <c r="X83">
        <v>99.891499999999994</v>
      </c>
      <c r="Y83" t="s">
        <v>2946</v>
      </c>
      <c r="Z83">
        <v>99.662139999999994</v>
      </c>
      <c r="AA83">
        <v>101.3711</v>
      </c>
      <c r="AB83">
        <v>99.559569999999994</v>
      </c>
      <c r="AC83">
        <v>99.524569999999997</v>
      </c>
      <c r="AD83">
        <v>99.437839999999994</v>
      </c>
      <c r="AE83">
        <v>100.60760000000001</v>
      </c>
      <c r="AF83">
        <v>98.972239999999999</v>
      </c>
    </row>
    <row r="84" spans="1:32" x14ac:dyDescent="0.4">
      <c r="A84" s="92" t="str">
        <f t="shared" si="7"/>
        <v>2023-Jul</v>
      </c>
      <c r="B84" s="113">
        <f t="shared" si="8"/>
        <v>-2.5769957521251108E-3</v>
      </c>
      <c r="C84" s="113">
        <f t="shared" si="9"/>
        <v>8.1956434974237435E-3</v>
      </c>
      <c r="D84" s="113">
        <f t="shared" si="10"/>
        <v>-5.0425685477933913E-3</v>
      </c>
      <c r="E84" s="113">
        <f t="shared" si="11"/>
        <v>-9.6826323600387454E-3</v>
      </c>
      <c r="F84" s="113">
        <f t="shared" si="12"/>
        <v>8.845901720948568E-4</v>
      </c>
      <c r="G84" s="113">
        <f t="shared" si="13"/>
        <v>2.0854023158920487E-3</v>
      </c>
      <c r="H84" t="s">
        <v>3102</v>
      </c>
      <c r="J84">
        <v>98.820359999999994</v>
      </c>
      <c r="K84">
        <v>97.793450000000007</v>
      </c>
      <c r="L84">
        <v>99.146799999999999</v>
      </c>
      <c r="M84">
        <v>99.041529999999995</v>
      </c>
      <c r="N84">
        <v>99.003749999999997</v>
      </c>
      <c r="O84">
        <v>100.09690000000001</v>
      </c>
      <c r="P84">
        <v>98.61309</v>
      </c>
      <c r="Q84">
        <v>100.83199999999999</v>
      </c>
      <c r="R84">
        <v>99.182259999999999</v>
      </c>
      <c r="S84">
        <v>100.5688</v>
      </c>
      <c r="T84">
        <v>98.968829999999997</v>
      </c>
      <c r="U84">
        <v>98.924160000000001</v>
      </c>
      <c r="V84">
        <v>99.079830000000001</v>
      </c>
      <c r="W84">
        <v>99.069000000000003</v>
      </c>
      <c r="X84">
        <v>99.981290000000001</v>
      </c>
      <c r="Y84" t="s">
        <v>2946</v>
      </c>
      <c r="Z84">
        <v>99.866969999999995</v>
      </c>
      <c r="AA84">
        <v>101.5949</v>
      </c>
      <c r="AB84">
        <v>99.574879999999993</v>
      </c>
      <c r="AC84">
        <v>99.617679999999993</v>
      </c>
      <c r="AD84">
        <v>99.314689999999999</v>
      </c>
      <c r="AE84">
        <v>100.7538</v>
      </c>
      <c r="AF84">
        <v>99.035910000000001</v>
      </c>
    </row>
    <row r="85" spans="1:32" x14ac:dyDescent="0.4">
      <c r="A85" s="92" t="str">
        <f t="shared" si="7"/>
        <v>2023-Aug</v>
      </c>
      <c r="B85" s="113">
        <f t="shared" si="8"/>
        <v>2.4633939756135703E-4</v>
      </c>
      <c r="C85" s="113">
        <f t="shared" si="9"/>
        <v>1.0121368980462453E-2</v>
      </c>
      <c r="D85" s="113">
        <f t="shared" si="10"/>
        <v>-2.2214619899073584E-3</v>
      </c>
      <c r="E85" s="113">
        <f t="shared" si="11"/>
        <v>-5.0491308425765213E-3</v>
      </c>
      <c r="F85" s="113">
        <f t="shared" si="12"/>
        <v>6.5595704830867518E-4</v>
      </c>
      <c r="G85" s="113">
        <f t="shared" si="13"/>
        <v>1.9239839254605595E-3</v>
      </c>
      <c r="H85" t="s">
        <v>3103</v>
      </c>
      <c r="J85">
        <v>98.758799999999994</v>
      </c>
      <c r="K85">
        <v>97.723119999999994</v>
      </c>
      <c r="L85">
        <v>99.205659999999995</v>
      </c>
      <c r="M85">
        <v>98.945430000000002</v>
      </c>
      <c r="N85">
        <v>98.972790000000003</v>
      </c>
      <c r="O85">
        <v>100.1087</v>
      </c>
      <c r="P85">
        <v>98.802819999999997</v>
      </c>
      <c r="Q85">
        <v>100.7444</v>
      </c>
      <c r="R85">
        <v>99.186580000000006</v>
      </c>
      <c r="S85">
        <v>100.13760000000001</v>
      </c>
      <c r="T85">
        <v>99.263630000000006</v>
      </c>
      <c r="U85">
        <v>98.989050000000006</v>
      </c>
      <c r="V85">
        <v>99.126189999999994</v>
      </c>
      <c r="W85">
        <v>99.115340000000003</v>
      </c>
      <c r="X85">
        <v>100.0334</v>
      </c>
      <c r="Y85" t="s">
        <v>2946</v>
      </c>
      <c r="Z85">
        <v>100.0581</v>
      </c>
      <c r="AA85">
        <v>101.7141</v>
      </c>
      <c r="AB85">
        <v>99.600949999999997</v>
      </c>
      <c r="AC85">
        <v>99.660030000000006</v>
      </c>
      <c r="AD85">
        <v>99.227239999999995</v>
      </c>
      <c r="AE85">
        <v>100.83920000000001</v>
      </c>
      <c r="AF85">
        <v>99.075900000000004</v>
      </c>
    </row>
    <row r="86" spans="1:32" x14ac:dyDescent="0.4">
      <c r="A86" s="92" t="str">
        <f t="shared" si="7"/>
        <v>2023-Sep</v>
      </c>
      <c r="B86" s="113">
        <f t="shared" si="8"/>
        <v>2.3823881606448438E-3</v>
      </c>
      <c r="C86" s="113">
        <f t="shared" si="9"/>
        <v>1.1082826803013424E-2</v>
      </c>
      <c r="D86" s="113">
        <f t="shared" si="10"/>
        <v>-1.1712354272053194E-4</v>
      </c>
      <c r="E86" s="113">
        <f t="shared" si="11"/>
        <v>2.7174368731452958E-5</v>
      </c>
      <c r="F86" s="113">
        <f t="shared" si="12"/>
        <v>4.0479224722322904E-4</v>
      </c>
      <c r="G86" s="113">
        <f t="shared" si="13"/>
        <v>1.9251474806083468E-3</v>
      </c>
      <c r="H86" t="s">
        <v>3104</v>
      </c>
      <c r="J86">
        <v>98.720050000000001</v>
      </c>
      <c r="K86">
        <v>97.660550000000001</v>
      </c>
      <c r="L86">
        <v>99.251519999999999</v>
      </c>
      <c r="M86">
        <v>98.926069999999996</v>
      </c>
      <c r="N86">
        <v>98.956379999999996</v>
      </c>
      <c r="O86">
        <v>100.1007</v>
      </c>
      <c r="P86">
        <v>98.993030000000005</v>
      </c>
      <c r="Q86">
        <v>100.65179999999999</v>
      </c>
      <c r="R86">
        <v>99.212490000000003</v>
      </c>
      <c r="S86">
        <v>99.631889999999999</v>
      </c>
      <c r="T86">
        <v>99.534390000000002</v>
      </c>
      <c r="U86">
        <v>99.029120000000006</v>
      </c>
      <c r="V86">
        <v>99.192310000000006</v>
      </c>
      <c r="W86">
        <v>99.153210000000001</v>
      </c>
      <c r="X86">
        <v>100.04430000000001</v>
      </c>
      <c r="Y86" t="s">
        <v>2946</v>
      </c>
      <c r="Z86">
        <v>100.2641</v>
      </c>
      <c r="AA86">
        <v>101.7092</v>
      </c>
      <c r="AB86">
        <v>99.638099999999994</v>
      </c>
      <c r="AC86">
        <v>99.613669999999999</v>
      </c>
      <c r="AD86">
        <v>99.161469999999994</v>
      </c>
      <c r="AE86">
        <v>100.8497</v>
      </c>
      <c r="AF86">
        <v>99.095399999999998</v>
      </c>
    </row>
    <row r="87" spans="1:32" x14ac:dyDescent="0.4">
      <c r="A87" s="92" t="str">
        <f t="shared" si="7"/>
        <v>2023-Oct</v>
      </c>
      <c r="B87" s="113">
        <f t="shared" si="8"/>
        <v>3.8426720789948021E-3</v>
      </c>
      <c r="C87" s="113">
        <f t="shared" si="9"/>
        <v>1.1171656754220161E-2</v>
      </c>
      <c r="D87" s="113">
        <f t="shared" si="10"/>
        <v>1.5423193004349134E-3</v>
      </c>
      <c r="E87" s="113">
        <f t="shared" si="11"/>
        <v>5.6431548057753744E-3</v>
      </c>
      <c r="F87" s="113">
        <f t="shared" si="12"/>
        <v>3.3232649143988269E-4</v>
      </c>
      <c r="G87" s="113">
        <f t="shared" si="13"/>
        <v>2.055397233522438E-3</v>
      </c>
      <c r="H87" t="s">
        <v>3105</v>
      </c>
      <c r="J87">
        <v>98.711359999999999</v>
      </c>
      <c r="K87">
        <v>97.625500000000002</v>
      </c>
      <c r="L87">
        <v>99.291409999999999</v>
      </c>
      <c r="M87">
        <v>98.971429999999998</v>
      </c>
      <c r="N87">
        <v>98.971080000000001</v>
      </c>
      <c r="O87">
        <v>100.0698</v>
      </c>
      <c r="P87">
        <v>99.1965</v>
      </c>
      <c r="Q87">
        <v>100.643</v>
      </c>
      <c r="R87">
        <v>99.265159999999995</v>
      </c>
      <c r="S87">
        <v>99.142889999999994</v>
      </c>
      <c r="T87">
        <v>99.764420000000001</v>
      </c>
      <c r="U87">
        <v>99.062029999999993</v>
      </c>
      <c r="V87">
        <v>99.274950000000004</v>
      </c>
      <c r="W87">
        <v>99.191149999999993</v>
      </c>
      <c r="X87">
        <v>100.0296</v>
      </c>
      <c r="Y87" t="s">
        <v>2946</v>
      </c>
      <c r="Z87">
        <v>100.5234</v>
      </c>
      <c r="AA87">
        <v>101.586</v>
      </c>
      <c r="AB87">
        <v>99.687340000000006</v>
      </c>
      <c r="AC87">
        <v>99.569519999999997</v>
      </c>
      <c r="AD87">
        <v>99.105969999999999</v>
      </c>
      <c r="AE87">
        <v>100.79559999999999</v>
      </c>
      <c r="AF87">
        <v>99.119230000000002</v>
      </c>
    </row>
    <row r="88" spans="1:32" x14ac:dyDescent="0.4">
      <c r="A88" s="92" t="str">
        <f t="shared" si="7"/>
        <v>2023-Nov</v>
      </c>
      <c r="B88" s="113">
        <f t="shared" si="8"/>
        <v>4.8916953162216892E-3</v>
      </c>
      <c r="C88" s="113">
        <f t="shared" si="9"/>
        <v>1.0568535620139485E-2</v>
      </c>
      <c r="D88" s="113">
        <f t="shared" si="10"/>
        <v>3.1746308054563244E-3</v>
      </c>
      <c r="E88" s="113">
        <f t="shared" si="11"/>
        <v>1.1505442779472297E-2</v>
      </c>
      <c r="F88" s="113">
        <f t="shared" si="12"/>
        <v>6.0558016022893568E-4</v>
      </c>
      <c r="G88" s="113">
        <f t="shared" si="13"/>
        <v>2.2884880010887176E-3</v>
      </c>
      <c r="H88" t="s">
        <v>3106</v>
      </c>
      <c r="J88">
        <v>98.732259999999997</v>
      </c>
      <c r="K88">
        <v>97.653180000000006</v>
      </c>
      <c r="L88">
        <v>99.333889999999997</v>
      </c>
      <c r="M88">
        <v>99.061580000000006</v>
      </c>
      <c r="N88">
        <v>99.015420000000006</v>
      </c>
      <c r="O88">
        <v>100.0249</v>
      </c>
      <c r="P88">
        <v>99.423509999999993</v>
      </c>
      <c r="Q88">
        <v>100.7653</v>
      </c>
      <c r="R88">
        <v>99.325429999999997</v>
      </c>
      <c r="S88">
        <v>98.734780000000001</v>
      </c>
      <c r="T88">
        <v>99.963070000000002</v>
      </c>
      <c r="U88">
        <v>99.122020000000006</v>
      </c>
      <c r="V88">
        <v>99.371390000000005</v>
      </c>
      <c r="W88">
        <v>99.248480000000001</v>
      </c>
      <c r="X88">
        <v>100.00660000000001</v>
      </c>
      <c r="Y88" t="s">
        <v>2946</v>
      </c>
      <c r="Z88">
        <v>100.84739999999999</v>
      </c>
      <c r="AA88">
        <v>101.3612</v>
      </c>
      <c r="AB88">
        <v>99.748540000000006</v>
      </c>
      <c r="AC88">
        <v>99.540059999999997</v>
      </c>
      <c r="AD88">
        <v>99.054310000000001</v>
      </c>
      <c r="AE88">
        <v>100.68859999999999</v>
      </c>
      <c r="AF88">
        <v>99.183009999999996</v>
      </c>
    </row>
    <row r="89" spans="1:32" x14ac:dyDescent="0.4">
      <c r="A89" s="92" t="str">
        <f t="shared" si="7"/>
        <v>2023-Dec</v>
      </c>
      <c r="B89" s="113">
        <f t="shared" si="8"/>
        <v>5.714702274672856E-3</v>
      </c>
      <c r="C89" s="113">
        <f t="shared" si="9"/>
        <v>9.3094360856031955E-3</v>
      </c>
      <c r="D89" s="113">
        <f t="shared" si="10"/>
        <v>4.8529235727579056E-3</v>
      </c>
      <c r="E89" s="113">
        <f t="shared" si="11"/>
        <v>1.691649233014525E-2</v>
      </c>
      <c r="F89" s="113">
        <f t="shared" si="12"/>
        <v>1.0059318807262851E-3</v>
      </c>
      <c r="G89" s="113">
        <f t="shared" si="13"/>
        <v>2.4556566148188352E-3</v>
      </c>
      <c r="H89" t="s">
        <v>3107</v>
      </c>
      <c r="J89">
        <v>98.773290000000003</v>
      </c>
      <c r="K89">
        <v>97.751660000000001</v>
      </c>
      <c r="L89">
        <v>99.375649999999993</v>
      </c>
      <c r="M89">
        <v>99.177760000000006</v>
      </c>
      <c r="N89">
        <v>99.058980000000005</v>
      </c>
      <c r="O89">
        <v>99.986000000000004</v>
      </c>
      <c r="P89">
        <v>99.667659999999998</v>
      </c>
      <c r="Q89">
        <v>100.99299999999999</v>
      </c>
      <c r="R89">
        <v>99.371809999999996</v>
      </c>
      <c r="S89">
        <v>98.450429999999997</v>
      </c>
      <c r="T89">
        <v>100.1581</v>
      </c>
      <c r="U89">
        <v>99.221729999999994</v>
      </c>
      <c r="V89">
        <v>99.475359999999995</v>
      </c>
      <c r="W89">
        <v>99.332480000000004</v>
      </c>
      <c r="X89">
        <v>99.982979999999998</v>
      </c>
      <c r="Y89" t="s">
        <v>2946</v>
      </c>
      <c r="Z89">
        <v>101.1808</v>
      </c>
      <c r="AA89">
        <v>101.0577</v>
      </c>
      <c r="AB89">
        <v>99.819969999999998</v>
      </c>
      <c r="AC89">
        <v>99.522329999999997</v>
      </c>
      <c r="AD89">
        <v>98.998869999999997</v>
      </c>
      <c r="AE89">
        <v>100.54259999999999</v>
      </c>
      <c r="AF89">
        <v>99.295249999999996</v>
      </c>
    </row>
    <row r="90" spans="1:32" x14ac:dyDescent="0.4">
      <c r="A90" s="92" t="str">
        <f t="shared" si="7"/>
        <v>2024-Jan</v>
      </c>
      <c r="B90" s="113">
        <f t="shared" si="8"/>
        <v>6.4966816679625783E-3</v>
      </c>
      <c r="C90" s="113">
        <f t="shared" si="9"/>
        <v>7.7472566525136344E-3</v>
      </c>
      <c r="D90" s="113">
        <f t="shared" si="10"/>
        <v>6.6292516641517363E-3</v>
      </c>
      <c r="E90" s="113">
        <f t="shared" si="11"/>
        <v>2.1348094993824507E-2</v>
      </c>
      <c r="F90" s="113">
        <f t="shared" si="12"/>
        <v>1.3558521908458854E-3</v>
      </c>
      <c r="G90" s="113">
        <f t="shared" si="13"/>
        <v>2.442617795983093E-3</v>
      </c>
      <c r="H90" t="s">
        <v>3108</v>
      </c>
      <c r="J90">
        <v>98.834980000000002</v>
      </c>
      <c r="K90">
        <v>97.902209999999997</v>
      </c>
      <c r="L90">
        <v>99.400099999999995</v>
      </c>
      <c r="M90">
        <v>99.314459999999997</v>
      </c>
      <c r="N90">
        <v>99.096689999999995</v>
      </c>
      <c r="O90">
        <v>99.979709999999997</v>
      </c>
      <c r="P90">
        <v>99.911109999999994</v>
      </c>
      <c r="Q90">
        <v>101.2343</v>
      </c>
      <c r="R90">
        <v>99.393219999999999</v>
      </c>
      <c r="S90">
        <v>98.291790000000006</v>
      </c>
      <c r="T90">
        <v>100.337</v>
      </c>
      <c r="U90">
        <v>99.356260000000006</v>
      </c>
      <c r="V90">
        <v>99.577209999999994</v>
      </c>
      <c r="W90">
        <v>99.439989999999995</v>
      </c>
      <c r="X90">
        <v>99.958399999999997</v>
      </c>
      <c r="Y90" t="s">
        <v>2946</v>
      </c>
      <c r="Z90">
        <v>101.46599999999999</v>
      </c>
      <c r="AA90">
        <v>100.6992</v>
      </c>
      <c r="AB90">
        <v>99.897729999999996</v>
      </c>
      <c r="AC90">
        <v>99.512339999999995</v>
      </c>
      <c r="AD90">
        <v>98.942869999999999</v>
      </c>
      <c r="AE90">
        <v>100.3716</v>
      </c>
      <c r="AF90">
        <v>99.441490000000002</v>
      </c>
    </row>
    <row r="91" spans="1:32" x14ac:dyDescent="0.4">
      <c r="A91" s="92" t="str">
        <f t="shared" si="7"/>
        <v>2024-Feb</v>
      </c>
      <c r="B91" s="113">
        <f t="shared" si="8"/>
        <v>7.2917711114979245E-3</v>
      </c>
      <c r="C91" s="113">
        <f t="shared" si="9"/>
        <v>5.950716383143595E-3</v>
      </c>
      <c r="D91" s="113">
        <f t="shared" si="10"/>
        <v>8.3675524830444381E-3</v>
      </c>
      <c r="E91" s="113">
        <f t="shared" si="11"/>
        <v>2.4365893988082199E-2</v>
      </c>
      <c r="F91" s="113">
        <f t="shared" si="12"/>
        <v>1.4313139403596686E-3</v>
      </c>
      <c r="G91" s="113">
        <f t="shared" si="13"/>
        <v>2.3279693319391281E-3</v>
      </c>
      <c r="H91" t="s">
        <v>2947</v>
      </c>
      <c r="J91">
        <v>98.921469999999999</v>
      </c>
      <c r="K91">
        <v>98.084360000000004</v>
      </c>
      <c r="L91">
        <v>99.404169999999993</v>
      </c>
      <c r="M91">
        <v>99.475319999999996</v>
      </c>
      <c r="N91">
        <v>99.125309999999999</v>
      </c>
      <c r="O91">
        <v>100.0124</v>
      </c>
      <c r="P91">
        <v>100.1437</v>
      </c>
      <c r="Q91">
        <v>101.4572</v>
      </c>
      <c r="R91">
        <v>99.39076</v>
      </c>
      <c r="S91">
        <v>98.203569999999999</v>
      </c>
      <c r="T91">
        <v>100.497</v>
      </c>
      <c r="U91">
        <v>99.498469999999998</v>
      </c>
      <c r="V91">
        <v>99.6755</v>
      </c>
      <c r="W91">
        <v>99.556759999999997</v>
      </c>
      <c r="X91">
        <v>99.930440000000004</v>
      </c>
      <c r="Y91" t="s">
        <v>2946</v>
      </c>
      <c r="Z91">
        <v>101.6694</v>
      </c>
      <c r="AA91">
        <v>100.312</v>
      </c>
      <c r="AB91">
        <v>99.977699999999999</v>
      </c>
      <c r="AC91">
        <v>99.512540000000001</v>
      </c>
      <c r="AD91">
        <v>98.910799999999995</v>
      </c>
      <c r="AE91">
        <v>100.19280000000001</v>
      </c>
      <c r="AF91">
        <v>99.594629999999995</v>
      </c>
    </row>
    <row r="92" spans="1:32" x14ac:dyDescent="0.4">
      <c r="A92" s="92" t="str">
        <f t="shared" si="7"/>
        <v>2024-Mar</v>
      </c>
      <c r="B92" s="113">
        <f t="shared" si="8"/>
        <v>7.9999215148602865E-3</v>
      </c>
      <c r="C92" s="113">
        <f t="shared" si="9"/>
        <v>4.0607223785997792E-3</v>
      </c>
      <c r="D92" s="113">
        <f t="shared" si="10"/>
        <v>9.7042279674099952E-3</v>
      </c>
      <c r="E92" s="113">
        <f t="shared" si="11"/>
        <v>2.5820082258940724E-2</v>
      </c>
      <c r="F92" s="113">
        <f t="shared" si="12"/>
        <v>1.2068527284891939E-3</v>
      </c>
      <c r="G92" s="113">
        <f t="shared" si="13"/>
        <v>2.0210956855000184E-3</v>
      </c>
      <c r="H92" t="s">
        <v>2948</v>
      </c>
      <c r="J92">
        <v>99.051689999999994</v>
      </c>
      <c r="K92">
        <v>98.277379999999994</v>
      </c>
      <c r="L92">
        <v>99.385710000000003</v>
      </c>
      <c r="M92">
        <v>99.655199999999994</v>
      </c>
      <c r="N92">
        <v>99.159260000000003</v>
      </c>
      <c r="O92">
        <v>100.0565</v>
      </c>
      <c r="P92">
        <v>100.34610000000001</v>
      </c>
      <c r="Q92">
        <v>101.6139</v>
      </c>
      <c r="R92">
        <v>99.367230000000006</v>
      </c>
      <c r="S92">
        <v>98.168779999999998</v>
      </c>
      <c r="T92">
        <v>100.63720000000001</v>
      </c>
      <c r="U92">
        <v>99.618549999999999</v>
      </c>
      <c r="V92">
        <v>99.77122</v>
      </c>
      <c r="W92">
        <v>99.66319</v>
      </c>
      <c r="X92">
        <v>99.896159999999995</v>
      </c>
      <c r="Y92" t="s">
        <v>2946</v>
      </c>
      <c r="Z92">
        <v>101.8099</v>
      </c>
      <c r="AA92">
        <v>99.924469999999999</v>
      </c>
      <c r="AB92">
        <v>100.05549999999999</v>
      </c>
      <c r="AC92">
        <v>99.532809999999998</v>
      </c>
      <c r="AD92">
        <v>98.917500000000004</v>
      </c>
      <c r="AE92">
        <v>100.0145</v>
      </c>
      <c r="AF92">
        <v>99.72372</v>
      </c>
    </row>
    <row r="93" spans="1:32" x14ac:dyDescent="0.4">
      <c r="A93" s="92" t="str">
        <f t="shared" si="7"/>
        <v>2024-Apr</v>
      </c>
      <c r="B93" s="113">
        <f t="shared" si="8"/>
        <v>8.3890452993684583E-3</v>
      </c>
      <c r="C93" s="113">
        <f t="shared" si="9"/>
        <v>2.1905497240033434E-3</v>
      </c>
      <c r="D93" s="113">
        <f t="shared" si="10"/>
        <v>1.0145755365546627E-2</v>
      </c>
      <c r="E93" s="113">
        <f t="shared" si="11"/>
        <v>2.5913881029083319E-2</v>
      </c>
      <c r="F93" s="113">
        <f t="shared" si="12"/>
        <v>6.9555318763425689E-4</v>
      </c>
      <c r="G93" s="113">
        <f t="shared" si="13"/>
        <v>1.5885021939068267E-3</v>
      </c>
      <c r="H93" t="s">
        <v>2949</v>
      </c>
      <c r="J93">
        <v>99.227159999999998</v>
      </c>
      <c r="K93">
        <v>98.472560000000001</v>
      </c>
      <c r="L93">
        <v>99.333579999999998</v>
      </c>
      <c r="M93">
        <v>99.831050000000005</v>
      </c>
      <c r="N93">
        <v>99.208020000000005</v>
      </c>
      <c r="O93">
        <v>100.105</v>
      </c>
      <c r="P93">
        <v>100.5055</v>
      </c>
      <c r="Q93">
        <v>101.6421</v>
      </c>
      <c r="R93">
        <v>99.333539999999999</v>
      </c>
      <c r="S93">
        <v>98.182950000000005</v>
      </c>
      <c r="T93">
        <v>100.7945</v>
      </c>
      <c r="U93">
        <v>99.687839999999994</v>
      </c>
      <c r="V93">
        <v>99.864599999999996</v>
      </c>
      <c r="W93">
        <v>99.743309999999994</v>
      </c>
      <c r="X93">
        <v>99.855350000000001</v>
      </c>
      <c r="Y93" t="s">
        <v>2946</v>
      </c>
      <c r="Z93">
        <v>101.91759999999999</v>
      </c>
      <c r="AA93">
        <v>99.564059999999998</v>
      </c>
      <c r="AB93">
        <v>100.1266</v>
      </c>
      <c r="AC93">
        <v>99.596410000000006</v>
      </c>
      <c r="AD93">
        <v>98.966669999999993</v>
      </c>
      <c r="AE93">
        <v>99.851100000000002</v>
      </c>
      <c r="AF93">
        <v>99.798240000000007</v>
      </c>
    </row>
    <row r="94" spans="1:32" x14ac:dyDescent="0.4">
      <c r="A94" s="92" t="str">
        <f t="shared" si="7"/>
        <v>2024-May</v>
      </c>
      <c r="B94" s="113">
        <f t="shared" si="8"/>
        <v>8.5157045691577338E-3</v>
      </c>
      <c r="C94" s="113">
        <f t="shared" si="9"/>
        <v>3.9548140941714216E-4</v>
      </c>
      <c r="D94" s="113">
        <f t="shared" si="10"/>
        <v>9.7995124345593432E-3</v>
      </c>
      <c r="E94" s="113">
        <f t="shared" si="11"/>
        <v>2.4805508605005411E-2</v>
      </c>
      <c r="F94" s="113">
        <f t="shared" si="12"/>
        <v>2.7696457260995011E-4</v>
      </c>
      <c r="G94" s="113">
        <f t="shared" si="13"/>
        <v>1.0586485316723682E-3</v>
      </c>
      <c r="H94" t="s">
        <v>2950</v>
      </c>
      <c r="J94">
        <v>99.419839999999994</v>
      </c>
      <c r="K94">
        <v>98.684560000000005</v>
      </c>
      <c r="L94">
        <v>99.270520000000005</v>
      </c>
      <c r="M94">
        <v>99.974140000000006</v>
      </c>
      <c r="N94">
        <v>99.30359</v>
      </c>
      <c r="O94">
        <v>100.1438</v>
      </c>
      <c r="P94">
        <v>100.61190000000001</v>
      </c>
      <c r="Q94">
        <v>101.5497</v>
      </c>
      <c r="R94">
        <v>99.303380000000004</v>
      </c>
      <c r="S94">
        <v>98.257639999999995</v>
      </c>
      <c r="T94">
        <v>100.99639999999999</v>
      </c>
      <c r="U94">
        <v>99.715450000000004</v>
      </c>
      <c r="V94">
        <v>99.964070000000007</v>
      </c>
      <c r="W94">
        <v>99.80341</v>
      </c>
      <c r="X94">
        <v>99.816590000000005</v>
      </c>
      <c r="Y94" t="s">
        <v>2946</v>
      </c>
      <c r="Z94">
        <v>102.0176</v>
      </c>
      <c r="AA94">
        <v>99.250690000000006</v>
      </c>
      <c r="AB94">
        <v>100.1876</v>
      </c>
      <c r="AC94">
        <v>99.705430000000007</v>
      </c>
      <c r="AD94">
        <v>99.053780000000003</v>
      </c>
      <c r="AE94">
        <v>99.710849999999994</v>
      </c>
      <c r="AF94">
        <v>99.827590000000001</v>
      </c>
    </row>
    <row r="95" spans="1:32" x14ac:dyDescent="0.4">
      <c r="A95" s="92" t="str">
        <f t="shared" si="7"/>
        <v>2024-Jun</v>
      </c>
      <c r="B95" s="113">
        <f t="shared" si="8"/>
        <v>8.4993900945045109E-3</v>
      </c>
      <c r="C95" s="113">
        <f t="shared" si="9"/>
        <v>-1.0213081193094498E-3</v>
      </c>
      <c r="D95" s="113">
        <f t="shared" si="10"/>
        <v>9.0980347083517987E-3</v>
      </c>
      <c r="E95" s="113">
        <f t="shared" si="11"/>
        <v>2.3059436201596339E-2</v>
      </c>
      <c r="F95" s="113">
        <f t="shared" si="12"/>
        <v>2.0558499209499814E-4</v>
      </c>
      <c r="G95" s="113">
        <f t="shared" si="13"/>
        <v>6.4803467581864282E-4</v>
      </c>
      <c r="H95" t="s">
        <v>2951</v>
      </c>
      <c r="J95">
        <v>99.617609999999999</v>
      </c>
      <c r="K95">
        <v>98.921880000000002</v>
      </c>
      <c r="L95">
        <v>99.221559999999997</v>
      </c>
      <c r="M95">
        <v>100.06270000000001</v>
      </c>
      <c r="N95">
        <v>99.449460000000002</v>
      </c>
      <c r="O95">
        <v>100.15900000000001</v>
      </c>
      <c r="P95">
        <v>100.6771</v>
      </c>
      <c r="Q95">
        <v>101.345</v>
      </c>
      <c r="R95">
        <v>99.311160000000001</v>
      </c>
      <c r="S95">
        <v>98.371859999999998</v>
      </c>
      <c r="T95">
        <v>101.20440000000001</v>
      </c>
      <c r="U95">
        <v>99.735950000000003</v>
      </c>
      <c r="V95">
        <v>100.05970000000001</v>
      </c>
      <c r="W95">
        <v>99.856909999999999</v>
      </c>
      <c r="X95">
        <v>99.789479999999998</v>
      </c>
      <c r="Y95" t="s">
        <v>2946</v>
      </c>
      <c r="Z95">
        <v>102.11490000000001</v>
      </c>
      <c r="AA95">
        <v>98.999380000000002</v>
      </c>
      <c r="AB95">
        <v>100.2346</v>
      </c>
      <c r="AC95">
        <v>99.862499999999997</v>
      </c>
      <c r="AD95">
        <v>99.179929999999999</v>
      </c>
      <c r="AE95">
        <v>99.600409999999997</v>
      </c>
      <c r="AF95">
        <v>99.841840000000005</v>
      </c>
    </row>
    <row r="96" spans="1:32" x14ac:dyDescent="0.4">
      <c r="A96" s="92" t="str">
        <f t="shared" si="7"/>
        <v>2024-Jul</v>
      </c>
      <c r="B96" s="113">
        <f t="shared" si="8"/>
        <v>8.6098577758935146E-3</v>
      </c>
      <c r="C96" s="113">
        <f t="shared" si="9"/>
        <v>-1.9319614699910836E-3</v>
      </c>
      <c r="D96" s="113">
        <f t="shared" si="10"/>
        <v>8.7749039264017892E-3</v>
      </c>
      <c r="E96" s="113">
        <f t="shared" si="11"/>
        <v>2.1226492344981862E-2</v>
      </c>
      <c r="F96" s="113">
        <f t="shared" si="12"/>
        <v>5.6408947826724898E-4</v>
      </c>
      <c r="G96" s="113">
        <f t="shared" si="13"/>
        <v>2.9003616512590646E-4</v>
      </c>
      <c r="H96" t="s">
        <v>2952</v>
      </c>
      <c r="J96">
        <v>99.806799999999996</v>
      </c>
      <c r="K96">
        <v>99.191199999999995</v>
      </c>
      <c r="L96">
        <v>99.209530000000001</v>
      </c>
      <c r="M96">
        <v>100.1037</v>
      </c>
      <c r="N96">
        <v>99.622060000000005</v>
      </c>
      <c r="O96">
        <v>100.1469</v>
      </c>
      <c r="P96">
        <v>100.7063</v>
      </c>
      <c r="Q96">
        <v>101.0581</v>
      </c>
      <c r="R96">
        <v>99.389499999999998</v>
      </c>
      <c r="S96">
        <v>98.520780000000002</v>
      </c>
      <c r="T96">
        <v>101.35420000000001</v>
      </c>
      <c r="U96">
        <v>99.792209999999997</v>
      </c>
      <c r="V96">
        <v>100.1395</v>
      </c>
      <c r="W96">
        <v>99.921970000000002</v>
      </c>
      <c r="X96">
        <v>99.788129999999995</v>
      </c>
      <c r="Y96" t="s">
        <v>2946</v>
      </c>
      <c r="Z96">
        <v>102.2059</v>
      </c>
      <c r="AA96">
        <v>98.831440000000001</v>
      </c>
      <c r="AB96">
        <v>100.2647</v>
      </c>
      <c r="AC96">
        <v>100.0702</v>
      </c>
      <c r="AD96">
        <v>99.346559999999997</v>
      </c>
      <c r="AE96">
        <v>99.530810000000002</v>
      </c>
      <c r="AF96">
        <v>99.879900000000006</v>
      </c>
    </row>
    <row r="97" spans="1:32" x14ac:dyDescent="0.4">
      <c r="A97" s="92" t="str">
        <f t="shared" si="7"/>
        <v>2024-Aug</v>
      </c>
      <c r="B97" s="113">
        <f t="shared" si="8"/>
        <v>8.9336322712507688E-3</v>
      </c>
      <c r="C97" s="113">
        <f t="shared" si="9"/>
        <v>-2.1330875487587386E-3</v>
      </c>
      <c r="D97" s="113">
        <f t="shared" si="10"/>
        <v>9.1599020295678457E-3</v>
      </c>
      <c r="E97" s="113">
        <f t="shared" si="11"/>
        <v>1.9253296616432714E-2</v>
      </c>
      <c r="F97" s="113">
        <f t="shared" si="12"/>
        <v>1.0378565621504965E-3</v>
      </c>
      <c r="G97" s="113">
        <f t="shared" si="13"/>
        <v>-1.19158384330742E-5</v>
      </c>
      <c r="H97" t="s">
        <v>2953</v>
      </c>
      <c r="J97">
        <v>99.957049999999995</v>
      </c>
      <c r="K97">
        <v>99.489580000000004</v>
      </c>
      <c r="L97">
        <v>99.249889999999994</v>
      </c>
      <c r="M97">
        <v>100.1056</v>
      </c>
      <c r="N97">
        <v>99.790099999999995</v>
      </c>
      <c r="O97">
        <v>100.10850000000001</v>
      </c>
      <c r="P97">
        <v>100.7051</v>
      </c>
      <c r="Q97">
        <v>100.744</v>
      </c>
      <c r="R97">
        <v>99.553820000000002</v>
      </c>
      <c r="S97">
        <v>98.734070000000003</v>
      </c>
      <c r="T97">
        <v>101.3938</v>
      </c>
      <c r="U97">
        <v>99.895780000000002</v>
      </c>
      <c r="V97">
        <v>100.19159999999999</v>
      </c>
      <c r="W97">
        <v>100.0008</v>
      </c>
      <c r="X97">
        <v>99.82002</v>
      </c>
      <c r="Y97" t="s">
        <v>2946</v>
      </c>
      <c r="Z97">
        <v>102.25</v>
      </c>
      <c r="AA97">
        <v>98.773929999999993</v>
      </c>
      <c r="AB97">
        <v>100.2786</v>
      </c>
      <c r="AC97">
        <v>100.28530000000001</v>
      </c>
      <c r="AD97">
        <v>99.549750000000003</v>
      </c>
      <c r="AE97">
        <v>99.514150000000001</v>
      </c>
      <c r="AF97">
        <v>99.956569999999999</v>
      </c>
    </row>
    <row r="98" spans="1:32" x14ac:dyDescent="0.4">
      <c r="A98" s="92" t="str">
        <f t="shared" si="7"/>
        <v>2024-Sep</v>
      </c>
      <c r="B98" s="113">
        <f t="shared" si="8"/>
        <v>9.5043821576730192E-3</v>
      </c>
      <c r="C98" s="113">
        <f t="shared" si="9"/>
        <v>-1.5400177721269781E-3</v>
      </c>
      <c r="D98" s="113">
        <f t="shared" si="10"/>
        <v>1.027556338983926E-2</v>
      </c>
      <c r="E98" s="113">
        <f t="shared" si="11"/>
        <v>1.7079687327481441E-2</v>
      </c>
      <c r="F98" s="113">
        <f t="shared" si="12"/>
        <v>1.5107745292144426E-3</v>
      </c>
      <c r="G98" s="113">
        <f t="shared" si="13"/>
        <v>-2.115086524911991E-4</v>
      </c>
      <c r="H98" t="s">
        <v>2954</v>
      </c>
      <c r="J98">
        <v>100.0595</v>
      </c>
      <c r="K98">
        <v>99.808710000000005</v>
      </c>
      <c r="L98">
        <v>99.322580000000002</v>
      </c>
      <c r="M98">
        <v>100.0916</v>
      </c>
      <c r="N98">
        <v>99.941699999999997</v>
      </c>
      <c r="O98">
        <v>100.0575</v>
      </c>
      <c r="P98">
        <v>100.68380000000001</v>
      </c>
      <c r="Q98">
        <v>100.4444</v>
      </c>
      <c r="R98">
        <v>99.800319999999999</v>
      </c>
      <c r="S98">
        <v>99.056529999999995</v>
      </c>
      <c r="T98">
        <v>101.3301</v>
      </c>
      <c r="U98">
        <v>100.0467</v>
      </c>
      <c r="V98">
        <v>100.2183</v>
      </c>
      <c r="W98">
        <v>100.0956</v>
      </c>
      <c r="X98">
        <v>99.890230000000003</v>
      </c>
      <c r="Y98" t="s">
        <v>2946</v>
      </c>
      <c r="Z98">
        <v>102.2103</v>
      </c>
      <c r="AA98">
        <v>98.843860000000006</v>
      </c>
      <c r="AB98">
        <v>100.27719999999999</v>
      </c>
      <c r="AC98">
        <v>100.4572</v>
      </c>
      <c r="AD98">
        <v>99.784199999999998</v>
      </c>
      <c r="AE98">
        <v>99.558210000000003</v>
      </c>
      <c r="AF98">
        <v>100.0754</v>
      </c>
    </row>
    <row r="99" spans="1:32" x14ac:dyDescent="0.4">
      <c r="A99" s="92" t="str">
        <f t="shared" si="7"/>
        <v>2024-Oct</v>
      </c>
      <c r="B99" s="113">
        <f t="shared" si="8"/>
        <v>1.0166733624925373E-2</v>
      </c>
      <c r="C99" s="113">
        <f t="shared" si="9"/>
        <v>-3.6899077872953878E-4</v>
      </c>
      <c r="D99" s="113">
        <f t="shared" si="10"/>
        <v>1.1746882231264744E-2</v>
      </c>
      <c r="E99" s="113">
        <f t="shared" si="11"/>
        <v>1.4761609532594422E-2</v>
      </c>
      <c r="F99" s="113">
        <f t="shared" si="12"/>
        <v>1.7891644601970569E-3</v>
      </c>
      <c r="G99" s="113">
        <f t="shared" si="13"/>
        <v>-2.2843794135707363E-4</v>
      </c>
      <c r="H99" t="s">
        <v>2998</v>
      </c>
      <c r="J99">
        <v>100.1189</v>
      </c>
      <c r="K99">
        <v>100.12439999999999</v>
      </c>
      <c r="L99">
        <v>99.416820000000001</v>
      </c>
      <c r="M99">
        <v>100.0762</v>
      </c>
      <c r="N99">
        <v>100.0594</v>
      </c>
      <c r="O99">
        <v>99.994370000000004</v>
      </c>
      <c r="P99">
        <v>100.66079999999999</v>
      </c>
      <c r="Q99">
        <v>100.20489999999999</v>
      </c>
      <c r="R99">
        <v>100.07510000000001</v>
      </c>
      <c r="S99">
        <v>99.468299999999999</v>
      </c>
      <c r="T99">
        <v>101.22709999999999</v>
      </c>
      <c r="U99">
        <v>100.2257</v>
      </c>
      <c r="V99">
        <v>100.2338</v>
      </c>
      <c r="W99">
        <v>100.1996</v>
      </c>
      <c r="X99">
        <v>99.992689999999996</v>
      </c>
      <c r="Y99" t="s">
        <v>2946</v>
      </c>
      <c r="Z99">
        <v>102.0838</v>
      </c>
      <c r="AA99">
        <v>99.029290000000003</v>
      </c>
      <c r="AB99">
        <v>100.264</v>
      </c>
      <c r="AC99">
        <v>100.55289999999999</v>
      </c>
      <c r="AD99">
        <v>100.0331</v>
      </c>
      <c r="AE99">
        <v>99.655739999999994</v>
      </c>
      <c r="AF99">
        <v>100.2231</v>
      </c>
    </row>
    <row r="100" spans="1:32" x14ac:dyDescent="0.4">
      <c r="A100" s="92" t="str">
        <f t="shared" si="7"/>
        <v>2024-Nov</v>
      </c>
      <c r="B100" s="113">
        <f t="shared" si="8"/>
        <v>1.063714023630391E-2</v>
      </c>
      <c r="C100" s="113">
        <f t="shared" si="9"/>
        <v>1.0549303745952532E-3</v>
      </c>
      <c r="D100" s="113">
        <f t="shared" si="10"/>
        <v>1.2955547112538657E-2</v>
      </c>
      <c r="E100" s="113">
        <f t="shared" si="11"/>
        <v>1.2439613125708515E-2</v>
      </c>
      <c r="F100" s="113">
        <f t="shared" si="12"/>
        <v>1.8009352890524521E-3</v>
      </c>
      <c r="G100" s="113">
        <f t="shared" si="13"/>
        <v>-4.967176894909997E-6</v>
      </c>
      <c r="H100" t="s">
        <v>3001</v>
      </c>
      <c r="J100">
        <v>100.148</v>
      </c>
      <c r="K100">
        <v>100.40479999999999</v>
      </c>
      <c r="L100">
        <v>99.550120000000007</v>
      </c>
      <c r="M100">
        <v>100.0646</v>
      </c>
      <c r="N100">
        <v>100.1375</v>
      </c>
      <c r="O100">
        <v>99.9268</v>
      </c>
      <c r="P100">
        <v>100.66030000000001</v>
      </c>
      <c r="Q100">
        <v>100.0628</v>
      </c>
      <c r="R100">
        <v>100.3339</v>
      </c>
      <c r="S100">
        <v>99.893100000000004</v>
      </c>
      <c r="T100">
        <v>101.1383</v>
      </c>
      <c r="U100">
        <v>100.4062</v>
      </c>
      <c r="V100">
        <v>100.25530000000001</v>
      </c>
      <c r="W100">
        <v>100.30419999999999</v>
      </c>
      <c r="X100">
        <v>100.1121</v>
      </c>
      <c r="Y100" t="s">
        <v>2946</v>
      </c>
      <c r="Z100">
        <v>101.90089999999999</v>
      </c>
      <c r="AA100">
        <v>99.284899999999993</v>
      </c>
      <c r="AB100">
        <v>100.2423</v>
      </c>
      <c r="AC100">
        <v>100.58199999999999</v>
      </c>
      <c r="AD100">
        <v>100.25539999999999</v>
      </c>
      <c r="AE100">
        <v>99.78546</v>
      </c>
      <c r="AF100">
        <v>100.37909999999999</v>
      </c>
    </row>
    <row r="101" spans="1:32" x14ac:dyDescent="0.4">
      <c r="A101" s="92" t="str">
        <f t="shared" si="7"/>
        <v>2024-Dec</v>
      </c>
      <c r="B101" s="113">
        <f t="shared" si="8"/>
        <v>1.0720763238771358E-2</v>
      </c>
      <c r="C101" s="113">
        <f t="shared" si="9"/>
        <v>2.5156281599127972E-3</v>
      </c>
      <c r="D101" s="113">
        <f t="shared" si="10"/>
        <v>1.3433246930889098E-2</v>
      </c>
      <c r="E101" s="113">
        <f t="shared" si="11"/>
        <v>1.0398959903342719E-2</v>
      </c>
      <c r="F101" s="113">
        <f t="shared" si="12"/>
        <v>1.4779963787097117E-3</v>
      </c>
      <c r="G101" s="113">
        <f t="shared" si="13"/>
        <v>4.3512685736080137E-4</v>
      </c>
      <c r="H101" t="s">
        <v>3002</v>
      </c>
      <c r="J101">
        <v>100.1722</v>
      </c>
      <c r="K101">
        <v>100.62949999999999</v>
      </c>
      <c r="L101">
        <v>99.716639999999998</v>
      </c>
      <c r="M101">
        <v>100.07980000000001</v>
      </c>
      <c r="N101">
        <v>100.185</v>
      </c>
      <c r="O101">
        <v>99.870130000000003</v>
      </c>
      <c r="P101">
        <v>100.7041</v>
      </c>
      <c r="Q101">
        <v>99.989680000000007</v>
      </c>
      <c r="R101">
        <v>100.5573</v>
      </c>
      <c r="S101">
        <v>100.26909999999999</v>
      </c>
      <c r="T101">
        <v>101.0904</v>
      </c>
      <c r="U101">
        <v>100.55459999999999</v>
      </c>
      <c r="V101">
        <v>100.2974</v>
      </c>
      <c r="W101">
        <v>100.3974</v>
      </c>
      <c r="X101">
        <v>100.2345</v>
      </c>
      <c r="Y101" t="s">
        <v>2946</v>
      </c>
      <c r="Z101">
        <v>101.70829999999999</v>
      </c>
      <c r="AA101">
        <v>99.576170000000005</v>
      </c>
      <c r="AB101">
        <v>100.2149</v>
      </c>
      <c r="AC101">
        <v>100.56359999999999</v>
      </c>
      <c r="AD101">
        <v>100.42789999999999</v>
      </c>
      <c r="AE101">
        <v>99.933279999999996</v>
      </c>
      <c r="AF101">
        <v>100.5112</v>
      </c>
    </row>
    <row r="102" spans="1:32" x14ac:dyDescent="0.4">
      <c r="A102" s="92" t="str">
        <f t="shared" si="7"/>
        <v>2025-Jan</v>
      </c>
      <c r="B102" s="113">
        <f t="shared" si="8"/>
        <v>1.0381235959496804E-2</v>
      </c>
      <c r="C102" s="113">
        <f t="shared" si="9"/>
        <v>3.9256330633543612E-3</v>
      </c>
      <c r="D102" s="113">
        <f t="shared" si="10"/>
        <v>1.2997067321173228E-2</v>
      </c>
      <c r="E102" s="113">
        <f t="shared" si="11"/>
        <v>8.8107318595500583E-3</v>
      </c>
      <c r="F102" s="113">
        <f t="shared" si="12"/>
        <v>9.2487066727930944E-4</v>
      </c>
      <c r="G102" s="113">
        <f t="shared" si="13"/>
        <v>8.66896183968624E-4</v>
      </c>
      <c r="H102" t="s">
        <v>3005</v>
      </c>
      <c r="J102">
        <v>100.19840000000001</v>
      </c>
      <c r="K102">
        <v>100.7957</v>
      </c>
      <c r="L102">
        <v>99.900379999999998</v>
      </c>
      <c r="M102">
        <v>100.1454</v>
      </c>
      <c r="N102">
        <v>100.2239</v>
      </c>
      <c r="O102">
        <v>99.831230000000005</v>
      </c>
      <c r="P102">
        <v>100.7914</v>
      </c>
      <c r="Q102">
        <v>99.967849999999999</v>
      </c>
      <c r="R102">
        <v>100.7437</v>
      </c>
      <c r="S102">
        <v>100.5437</v>
      </c>
      <c r="T102">
        <v>101.1063</v>
      </c>
      <c r="U102">
        <v>100.6476</v>
      </c>
      <c r="V102">
        <v>100.37390000000001</v>
      </c>
      <c r="W102">
        <v>100.4723</v>
      </c>
      <c r="X102">
        <v>100.35080000000001</v>
      </c>
      <c r="Y102" t="s">
        <v>2946</v>
      </c>
      <c r="Z102">
        <v>101.54689999999999</v>
      </c>
      <c r="AA102">
        <v>99.878219999999999</v>
      </c>
      <c r="AB102">
        <v>100.1854</v>
      </c>
      <c r="AC102">
        <v>100.518</v>
      </c>
      <c r="AD102">
        <v>100.5654</v>
      </c>
      <c r="AE102">
        <v>100.0886</v>
      </c>
      <c r="AF102">
        <v>100.59829999999999</v>
      </c>
    </row>
    <row r="103" spans="1:32" x14ac:dyDescent="0.4">
      <c r="A103" s="92" t="str">
        <f t="shared" si="7"/>
        <v>2025-Feb</v>
      </c>
      <c r="B103" s="113">
        <f t="shared" si="8"/>
        <v>9.7285206951291947E-3</v>
      </c>
      <c r="C103" s="113">
        <f t="shared" si="9"/>
        <v>5.3162980169003671E-3</v>
      </c>
      <c r="D103" s="113">
        <f t="shared" si="10"/>
        <v>1.1877871086861891E-2</v>
      </c>
      <c r="E103" s="113">
        <f t="shared" si="11"/>
        <v>7.6470112448412397E-3</v>
      </c>
      <c r="F103" s="113">
        <f t="shared" si="12"/>
        <v>3.2489597367457712E-4</v>
      </c>
      <c r="G103" s="113">
        <f t="shared" si="13"/>
        <v>1.1717269528948027E-3</v>
      </c>
      <c r="H103" t="s">
        <v>3022</v>
      </c>
      <c r="J103">
        <v>100.2231</v>
      </c>
      <c r="K103">
        <v>100.9006</v>
      </c>
      <c r="L103">
        <v>100.0904</v>
      </c>
      <c r="M103">
        <v>100.26430000000001</v>
      </c>
      <c r="N103">
        <v>100.25190000000001</v>
      </c>
      <c r="O103">
        <v>99.803210000000007</v>
      </c>
      <c r="P103">
        <v>100.90949999999999</v>
      </c>
      <c r="Q103">
        <v>99.997820000000004</v>
      </c>
      <c r="R103">
        <v>100.89149999999999</v>
      </c>
      <c r="S103">
        <v>100.7221</v>
      </c>
      <c r="T103">
        <v>101.1927</v>
      </c>
      <c r="U103">
        <v>100.6803</v>
      </c>
      <c r="V103">
        <v>100.4845</v>
      </c>
      <c r="W103">
        <v>100.5253</v>
      </c>
      <c r="X103">
        <v>100.46169999999999</v>
      </c>
      <c r="Y103" t="s">
        <v>2946</v>
      </c>
      <c r="Z103">
        <v>101.4568</v>
      </c>
      <c r="AA103">
        <v>100.18470000000001</v>
      </c>
      <c r="AB103">
        <v>100.1562</v>
      </c>
      <c r="AC103">
        <v>100.4649</v>
      </c>
      <c r="AD103">
        <v>100.6737</v>
      </c>
      <c r="AE103">
        <v>100.2499</v>
      </c>
      <c r="AF103">
        <v>100.6361</v>
      </c>
    </row>
    <row r="104" spans="1:32" x14ac:dyDescent="0.4">
      <c r="A104" s="92" t="str">
        <f t="shared" si="7"/>
        <v>2025-Mar</v>
      </c>
      <c r="B104" s="113">
        <f t="shared" si="8"/>
        <v>9.0094447107300635E-3</v>
      </c>
      <c r="C104" s="113">
        <f t="shared" si="9"/>
        <v>6.6503056774154246E-3</v>
      </c>
      <c r="D104" s="113">
        <f t="shared" si="10"/>
        <v>1.0634063635738489E-2</v>
      </c>
      <c r="E104" s="113">
        <f t="shared" si="11"/>
        <v>6.8881600779699959E-3</v>
      </c>
      <c r="F104" s="131">
        <f t="shared" si="12"/>
        <v>-2.3837831234163609E-5</v>
      </c>
      <c r="G104" s="113">
        <f t="shared" si="13"/>
        <v>1.2664813521026108E-3</v>
      </c>
      <c r="H104" t="s">
        <v>3023</v>
      </c>
      <c r="J104">
        <v>100.24979999999999</v>
      </c>
      <c r="K104">
        <v>100.97020000000001</v>
      </c>
      <c r="L104">
        <v>100.2647</v>
      </c>
      <c r="M104">
        <v>100.41459999999999</v>
      </c>
      <c r="N104">
        <v>100.2603</v>
      </c>
      <c r="O104">
        <v>99.784440000000004</v>
      </c>
      <c r="P104">
        <v>101.0373</v>
      </c>
      <c r="Q104">
        <v>99.99539</v>
      </c>
      <c r="R104">
        <v>101.0035</v>
      </c>
      <c r="S104">
        <v>100.83280000000001</v>
      </c>
      <c r="T104">
        <v>101.28700000000001</v>
      </c>
      <c r="U104">
        <v>100.67789999999999</v>
      </c>
      <c r="V104">
        <v>100.6</v>
      </c>
      <c r="W104">
        <v>100.5611</v>
      </c>
      <c r="X104">
        <v>100.5605</v>
      </c>
      <c r="Y104" t="s">
        <v>2946</v>
      </c>
      <c r="Z104">
        <v>101.4269</v>
      </c>
      <c r="AA104">
        <v>100.4884</v>
      </c>
      <c r="AB104">
        <v>100.0989</v>
      </c>
      <c r="AC104">
        <v>100.4119</v>
      </c>
      <c r="AD104">
        <v>100.7608</v>
      </c>
      <c r="AE104">
        <v>100.4049</v>
      </c>
      <c r="AF104">
        <v>100.63890000000001</v>
      </c>
    </row>
  </sheetData>
  <mergeCells count="16">
    <mergeCell ref="U3:U4"/>
    <mergeCell ref="V3:V4"/>
    <mergeCell ref="W3:W4"/>
    <mergeCell ref="X3:X4"/>
    <mergeCell ref="T3:T4"/>
    <mergeCell ref="H3:I4"/>
    <mergeCell ref="J3:J4"/>
    <mergeCell ref="K3:K4"/>
    <mergeCell ref="L3:L4"/>
    <mergeCell ref="M3:M4"/>
    <mergeCell ref="S3:S4"/>
    <mergeCell ref="N3:N4"/>
    <mergeCell ref="O3:O4"/>
    <mergeCell ref="P3:P4"/>
    <mergeCell ref="Q3:Q4"/>
    <mergeCell ref="R3:R4"/>
  </mergeCells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C98"/>
  <sheetViews>
    <sheetView topLeftCell="A22" zoomScale="85" zoomScaleNormal="75" zoomScaleSheetLayoutView="85" workbookViewId="0">
      <selection activeCell="A25" sqref="A25"/>
    </sheetView>
  </sheetViews>
  <sheetFormatPr defaultColWidth="9" defaultRowHeight="17.399999999999999" x14ac:dyDescent="0.4"/>
  <cols>
    <col min="1" max="1" width="90.5" style="7" bestFit="1" customWidth="1"/>
    <col min="2" max="2" width="41.19921875" style="7" bestFit="1" customWidth="1"/>
    <col min="3" max="16384" width="9" style="7"/>
  </cols>
  <sheetData>
    <row r="2" spans="1:2" x14ac:dyDescent="0.4">
      <c r="A2" s="7" t="s">
        <v>266</v>
      </c>
    </row>
    <row r="4" spans="1:2" x14ac:dyDescent="0.4">
      <c r="A4" s="25" t="s">
        <v>267</v>
      </c>
      <c r="B4" s="25" t="s">
        <v>268</v>
      </c>
    </row>
    <row r="5" spans="1:2" x14ac:dyDescent="0.4">
      <c r="A5" s="26" t="s">
        <v>269</v>
      </c>
      <c r="B5" s="27" t="s">
        <v>270</v>
      </c>
    </row>
    <row r="6" spans="1:2" x14ac:dyDescent="0.4">
      <c r="A6" s="26" t="s">
        <v>271</v>
      </c>
      <c r="B6" s="27" t="s">
        <v>272</v>
      </c>
    </row>
    <row r="7" spans="1:2" x14ac:dyDescent="0.4">
      <c r="A7" s="26" t="s">
        <v>273</v>
      </c>
      <c r="B7" s="27" t="s">
        <v>274</v>
      </c>
    </row>
    <row r="8" spans="1:2" x14ac:dyDescent="0.4">
      <c r="A8" s="26" t="s">
        <v>275</v>
      </c>
      <c r="B8" s="27" t="s">
        <v>276</v>
      </c>
    </row>
    <row r="9" spans="1:2" x14ac:dyDescent="0.4">
      <c r="A9" s="26" t="s">
        <v>277</v>
      </c>
      <c r="B9" s="27" t="s">
        <v>278</v>
      </c>
    </row>
    <row r="10" spans="1:2" x14ac:dyDescent="0.4">
      <c r="A10" s="26" t="s">
        <v>279</v>
      </c>
      <c r="B10" s="27" t="s">
        <v>280</v>
      </c>
    </row>
    <row r="11" spans="1:2" x14ac:dyDescent="0.4">
      <c r="A11" s="26" t="s">
        <v>281</v>
      </c>
      <c r="B11" s="27" t="s">
        <v>282</v>
      </c>
    </row>
    <row r="12" spans="1:2" x14ac:dyDescent="0.4">
      <c r="A12" s="26" t="s">
        <v>283</v>
      </c>
      <c r="B12" s="27" t="s">
        <v>284</v>
      </c>
    </row>
    <row r="13" spans="1:2" x14ac:dyDescent="0.4">
      <c r="A13" s="26" t="s">
        <v>285</v>
      </c>
      <c r="B13" s="27" t="s">
        <v>286</v>
      </c>
    </row>
    <row r="14" spans="1:2" x14ac:dyDescent="0.4">
      <c r="A14" s="26" t="s">
        <v>287</v>
      </c>
      <c r="B14" s="27" t="s">
        <v>288</v>
      </c>
    </row>
    <row r="15" spans="1:2" x14ac:dyDescent="0.4">
      <c r="A15" s="26" t="s">
        <v>289</v>
      </c>
      <c r="B15" s="205" t="s">
        <v>290</v>
      </c>
    </row>
    <row r="16" spans="1:2" x14ac:dyDescent="0.4">
      <c r="A16" s="28" t="s">
        <v>291</v>
      </c>
      <c r="B16" s="205"/>
    </row>
    <row r="17" spans="1:2" x14ac:dyDescent="0.4">
      <c r="A17" s="28" t="s">
        <v>292</v>
      </c>
      <c r="B17" s="27" t="s">
        <v>293</v>
      </c>
    </row>
    <row r="18" spans="1:2" x14ac:dyDescent="0.4">
      <c r="A18" s="8" t="s">
        <v>294</v>
      </c>
      <c r="B18" s="27" t="s">
        <v>295</v>
      </c>
    </row>
    <row r="19" spans="1:2" x14ac:dyDescent="0.4">
      <c r="A19" s="26" t="s">
        <v>296</v>
      </c>
      <c r="B19" s="27" t="s">
        <v>297</v>
      </c>
    </row>
    <row r="20" spans="1:2" x14ac:dyDescent="0.4">
      <c r="A20" s="26" t="s">
        <v>298</v>
      </c>
      <c r="B20" s="27" t="s">
        <v>299</v>
      </c>
    </row>
    <row r="21" spans="1:2" x14ac:dyDescent="0.4">
      <c r="A21" s="26" t="s">
        <v>300</v>
      </c>
      <c r="B21" s="27" t="s">
        <v>301</v>
      </c>
    </row>
    <row r="22" spans="1:2" x14ac:dyDescent="0.4">
      <c r="A22" s="26" t="s">
        <v>302</v>
      </c>
      <c r="B22" s="27" t="s">
        <v>303</v>
      </c>
    </row>
    <row r="23" spans="1:2" x14ac:dyDescent="0.4">
      <c r="A23" s="26" t="s">
        <v>304</v>
      </c>
      <c r="B23" s="27" t="s">
        <v>305</v>
      </c>
    </row>
    <row r="24" spans="1:2" x14ac:dyDescent="0.4">
      <c r="A24" s="26" t="s">
        <v>306</v>
      </c>
      <c r="B24" s="27" t="s">
        <v>307</v>
      </c>
    </row>
    <row r="25" spans="1:2" x14ac:dyDescent="0.4">
      <c r="A25" s="26" t="s">
        <v>308</v>
      </c>
      <c r="B25" s="27" t="s">
        <v>309</v>
      </c>
    </row>
    <row r="26" spans="1:2" x14ac:dyDescent="0.4">
      <c r="A26" s="26" t="s">
        <v>310</v>
      </c>
      <c r="B26" s="27" t="s">
        <v>311</v>
      </c>
    </row>
    <row r="27" spans="1:2" x14ac:dyDescent="0.4">
      <c r="A27" s="26" t="s">
        <v>312</v>
      </c>
      <c r="B27" s="27" t="s">
        <v>313</v>
      </c>
    </row>
    <row r="28" spans="1:2" x14ac:dyDescent="0.4">
      <c r="A28" s="26" t="s">
        <v>314</v>
      </c>
      <c r="B28" s="27" t="s">
        <v>315</v>
      </c>
    </row>
    <row r="29" spans="1:2" x14ac:dyDescent="0.4">
      <c r="A29" s="26" t="s">
        <v>316</v>
      </c>
      <c r="B29" s="27" t="s">
        <v>317</v>
      </c>
    </row>
    <row r="30" spans="1:2" x14ac:dyDescent="0.4">
      <c r="A30" s="28" t="s">
        <v>318</v>
      </c>
      <c r="B30" s="27" t="s">
        <v>319</v>
      </c>
    </row>
    <row r="31" spans="1:2" x14ac:dyDescent="0.4">
      <c r="A31" s="26" t="s">
        <v>320</v>
      </c>
      <c r="B31" s="27" t="s">
        <v>321</v>
      </c>
    </row>
    <row r="32" spans="1:2" x14ac:dyDescent="0.4">
      <c r="A32" s="26" t="s">
        <v>322</v>
      </c>
      <c r="B32" s="27" t="s">
        <v>323</v>
      </c>
    </row>
    <row r="33" spans="1:3" x14ac:dyDescent="0.4">
      <c r="A33" s="26" t="s">
        <v>324</v>
      </c>
      <c r="B33" s="27" t="s">
        <v>325</v>
      </c>
    </row>
    <row r="34" spans="1:3" x14ac:dyDescent="0.4">
      <c r="A34" s="26" t="s">
        <v>326</v>
      </c>
      <c r="B34" s="27" t="s">
        <v>327</v>
      </c>
    </row>
    <row r="35" spans="1:3" x14ac:dyDescent="0.4">
      <c r="A35" s="26" t="s">
        <v>328</v>
      </c>
      <c r="B35" s="27" t="s">
        <v>329</v>
      </c>
    </row>
    <row r="36" spans="1:3" x14ac:dyDescent="0.4">
      <c r="A36" s="26" t="s">
        <v>330</v>
      </c>
      <c r="B36" s="27" t="s">
        <v>331</v>
      </c>
    </row>
    <row r="37" spans="1:3" x14ac:dyDescent="0.4">
      <c r="A37" s="26" t="s">
        <v>332</v>
      </c>
      <c r="B37" s="27" t="s">
        <v>333</v>
      </c>
    </row>
    <row r="38" spans="1:3" x14ac:dyDescent="0.4">
      <c r="A38" s="26" t="s">
        <v>334</v>
      </c>
      <c r="B38" s="27" t="s">
        <v>335</v>
      </c>
    </row>
    <row r="39" spans="1:3" x14ac:dyDescent="0.4">
      <c r="A39" s="26" t="s">
        <v>336</v>
      </c>
      <c r="B39" s="27" t="s">
        <v>337</v>
      </c>
    </row>
    <row r="40" spans="1:3" x14ac:dyDescent="0.4">
      <c r="A40" s="26" t="s">
        <v>338</v>
      </c>
      <c r="B40" s="27" t="s">
        <v>339</v>
      </c>
    </row>
    <row r="41" spans="1:3" x14ac:dyDescent="0.4">
      <c r="A41" s="8" t="s">
        <v>340</v>
      </c>
      <c r="B41" s="27" t="s">
        <v>341</v>
      </c>
    </row>
    <row r="42" spans="1:3" x14ac:dyDescent="0.4">
      <c r="A42" s="26" t="s">
        <v>342</v>
      </c>
      <c r="B42" s="27" t="s">
        <v>343</v>
      </c>
    </row>
    <row r="43" spans="1:3" x14ac:dyDescent="0.4">
      <c r="A43" s="26" t="s">
        <v>344</v>
      </c>
      <c r="B43" s="27" t="s">
        <v>345</v>
      </c>
    </row>
    <row r="44" spans="1:3" x14ac:dyDescent="0.4">
      <c r="A44" s="8" t="s">
        <v>346</v>
      </c>
      <c r="B44" s="27" t="s">
        <v>347</v>
      </c>
    </row>
    <row r="45" spans="1:3" x14ac:dyDescent="0.4">
      <c r="A45" s="29" t="s">
        <v>348</v>
      </c>
      <c r="B45" s="27" t="s">
        <v>349</v>
      </c>
      <c r="C45" s="7" t="s">
        <v>350</v>
      </c>
    </row>
    <row r="46" spans="1:3" x14ac:dyDescent="0.4">
      <c r="A46" s="29" t="s">
        <v>351</v>
      </c>
      <c r="B46" s="27" t="s">
        <v>352</v>
      </c>
      <c r="C46" s="7" t="s">
        <v>350</v>
      </c>
    </row>
    <row r="47" spans="1:3" x14ac:dyDescent="0.4">
      <c r="A47" s="26" t="s">
        <v>353</v>
      </c>
      <c r="B47" s="27" t="s">
        <v>354</v>
      </c>
    </row>
    <row r="48" spans="1:3" x14ac:dyDescent="0.4">
      <c r="A48" s="26" t="s">
        <v>355</v>
      </c>
      <c r="B48" s="27" t="s">
        <v>356</v>
      </c>
    </row>
    <row r="49" spans="1:2" x14ac:dyDescent="0.4">
      <c r="A49" s="26" t="s">
        <v>357</v>
      </c>
      <c r="B49" s="27" t="s">
        <v>358</v>
      </c>
    </row>
    <row r="50" spans="1:2" x14ac:dyDescent="0.4">
      <c r="A50" s="26" t="s">
        <v>359</v>
      </c>
      <c r="B50" s="205" t="s">
        <v>360</v>
      </c>
    </row>
    <row r="51" spans="1:2" x14ac:dyDescent="0.4">
      <c r="A51" s="26" t="s">
        <v>361</v>
      </c>
      <c r="B51" s="205"/>
    </row>
    <row r="52" spans="1:2" x14ac:dyDescent="0.4">
      <c r="A52" s="26" t="s">
        <v>362</v>
      </c>
      <c r="B52" s="27" t="s">
        <v>363</v>
      </c>
    </row>
    <row r="53" spans="1:2" x14ac:dyDescent="0.4">
      <c r="A53" s="26" t="s">
        <v>364</v>
      </c>
      <c r="B53" s="27" t="s">
        <v>365</v>
      </c>
    </row>
    <row r="54" spans="1:2" x14ac:dyDescent="0.4">
      <c r="A54" s="26" t="s">
        <v>366</v>
      </c>
      <c r="B54" s="27" t="s">
        <v>367</v>
      </c>
    </row>
    <row r="55" spans="1:2" x14ac:dyDescent="0.4">
      <c r="A55" s="26" t="s">
        <v>368</v>
      </c>
      <c r="B55" s="27" t="s">
        <v>369</v>
      </c>
    </row>
    <row r="56" spans="1:2" x14ac:dyDescent="0.4">
      <c r="A56" s="26" t="s">
        <v>370</v>
      </c>
      <c r="B56" s="27" t="s">
        <v>371</v>
      </c>
    </row>
    <row r="57" spans="1:2" x14ac:dyDescent="0.4">
      <c r="A57" s="26" t="s">
        <v>372</v>
      </c>
      <c r="B57" s="27" t="s">
        <v>373</v>
      </c>
    </row>
    <row r="58" spans="1:2" x14ac:dyDescent="0.4">
      <c r="A58" s="26" t="s">
        <v>374</v>
      </c>
      <c r="B58" s="27" t="s">
        <v>375</v>
      </c>
    </row>
    <row r="59" spans="1:2" x14ac:dyDescent="0.4">
      <c r="A59" s="26" t="s">
        <v>376</v>
      </c>
      <c r="B59" s="27" t="s">
        <v>377</v>
      </c>
    </row>
    <row r="60" spans="1:2" x14ac:dyDescent="0.4">
      <c r="A60" s="30" t="s">
        <v>364</v>
      </c>
      <c r="B60" s="31" t="s">
        <v>378</v>
      </c>
    </row>
    <row r="61" spans="1:2" x14ac:dyDescent="0.4">
      <c r="A61" s="26" t="s">
        <v>379</v>
      </c>
      <c r="B61" s="27" t="s">
        <v>380</v>
      </c>
    </row>
    <row r="62" spans="1:2" x14ac:dyDescent="0.4">
      <c r="A62" s="26" t="s">
        <v>381</v>
      </c>
      <c r="B62" s="27" t="s">
        <v>382</v>
      </c>
    </row>
    <row r="63" spans="1:2" x14ac:dyDescent="0.4">
      <c r="A63" s="26" t="s">
        <v>383</v>
      </c>
      <c r="B63" s="27" t="s">
        <v>384</v>
      </c>
    </row>
    <row r="64" spans="1:2" x14ac:dyDescent="0.4">
      <c r="A64" s="26" t="s">
        <v>385</v>
      </c>
      <c r="B64" s="27" t="s">
        <v>386</v>
      </c>
    </row>
    <row r="65" spans="1:3" x14ac:dyDescent="0.4">
      <c r="A65" s="26" t="s">
        <v>387</v>
      </c>
      <c r="B65" s="27" t="s">
        <v>388</v>
      </c>
    </row>
    <row r="66" spans="1:3" x14ac:dyDescent="0.4">
      <c r="A66" s="26" t="s">
        <v>389</v>
      </c>
      <c r="B66" s="27" t="s">
        <v>390</v>
      </c>
    </row>
    <row r="67" spans="1:3" x14ac:dyDescent="0.4">
      <c r="A67" s="26" t="s">
        <v>391</v>
      </c>
      <c r="B67" s="27" t="s">
        <v>392</v>
      </c>
    </row>
    <row r="68" spans="1:3" x14ac:dyDescent="0.4">
      <c r="A68" s="26" t="s">
        <v>393</v>
      </c>
      <c r="B68" s="27" t="s">
        <v>394</v>
      </c>
    </row>
    <row r="69" spans="1:3" x14ac:dyDescent="0.4">
      <c r="A69" s="26" t="s">
        <v>395</v>
      </c>
      <c r="B69" s="27" t="s">
        <v>396</v>
      </c>
    </row>
    <row r="70" spans="1:3" x14ac:dyDescent="0.4">
      <c r="A70" s="26" t="s">
        <v>397</v>
      </c>
      <c r="B70" s="27" t="s">
        <v>398</v>
      </c>
    </row>
    <row r="71" spans="1:3" x14ac:dyDescent="0.4">
      <c r="A71" s="26" t="s">
        <v>399</v>
      </c>
      <c r="B71" s="27" t="s">
        <v>400</v>
      </c>
    </row>
    <row r="72" spans="1:3" x14ac:dyDescent="0.4">
      <c r="A72" s="26" t="s">
        <v>401</v>
      </c>
      <c r="B72" s="27" t="s">
        <v>402</v>
      </c>
    </row>
    <row r="73" spans="1:3" x14ac:dyDescent="0.4">
      <c r="A73" s="26" t="s">
        <v>403</v>
      </c>
      <c r="B73" s="27" t="s">
        <v>404</v>
      </c>
    </row>
    <row r="74" spans="1:3" x14ac:dyDescent="0.4">
      <c r="A74" s="26" t="s">
        <v>405</v>
      </c>
      <c r="B74" s="27" t="s">
        <v>406</v>
      </c>
    </row>
    <row r="75" spans="1:3" x14ac:dyDescent="0.4">
      <c r="A75" s="26" t="s">
        <v>407</v>
      </c>
      <c r="B75" s="27" t="s">
        <v>408</v>
      </c>
    </row>
    <row r="76" spans="1:3" x14ac:dyDescent="0.4">
      <c r="A76" s="26" t="s">
        <v>409</v>
      </c>
      <c r="B76" s="27" t="s">
        <v>410</v>
      </c>
      <c r="C76" s="7" t="s">
        <v>54</v>
      </c>
    </row>
    <row r="77" spans="1:3" x14ac:dyDescent="0.4">
      <c r="A77" s="28" t="s">
        <v>411</v>
      </c>
      <c r="B77" s="27" t="s">
        <v>412</v>
      </c>
      <c r="C77" s="7" t="s">
        <v>54</v>
      </c>
    </row>
    <row r="78" spans="1:3" x14ac:dyDescent="0.4">
      <c r="A78" s="26" t="s">
        <v>413</v>
      </c>
      <c r="B78" s="27" t="s">
        <v>414</v>
      </c>
      <c r="C78" s="7" t="s">
        <v>54</v>
      </c>
    </row>
    <row r="79" spans="1:3" x14ac:dyDescent="0.4">
      <c r="A79" s="26" t="s">
        <v>415</v>
      </c>
      <c r="B79" s="27" t="s">
        <v>416</v>
      </c>
      <c r="C79" s="7" t="s">
        <v>54</v>
      </c>
    </row>
    <row r="80" spans="1:3" x14ac:dyDescent="0.4">
      <c r="A80" s="26" t="s">
        <v>417</v>
      </c>
      <c r="B80" s="27" t="s">
        <v>418</v>
      </c>
      <c r="C80" s="7" t="s">
        <v>54</v>
      </c>
    </row>
    <row r="81" spans="1:3" x14ac:dyDescent="0.4">
      <c r="A81" s="7" t="s">
        <v>419</v>
      </c>
      <c r="B81" s="31" t="s">
        <v>420</v>
      </c>
      <c r="C81" s="7" t="s">
        <v>84</v>
      </c>
    </row>
    <row r="82" spans="1:3" x14ac:dyDescent="0.4">
      <c r="A82" s="26" t="s">
        <v>421</v>
      </c>
      <c r="B82" s="27" t="s">
        <v>422</v>
      </c>
      <c r="C82" s="7" t="s">
        <v>423</v>
      </c>
    </row>
    <row r="83" spans="1:3" x14ac:dyDescent="0.4">
      <c r="A83" s="7" t="s">
        <v>424</v>
      </c>
      <c r="B83" s="31" t="s">
        <v>425</v>
      </c>
      <c r="C83" s="7" t="s">
        <v>426</v>
      </c>
    </row>
    <row r="84" spans="1:3" x14ac:dyDescent="0.4">
      <c r="A84" s="32" t="s">
        <v>427</v>
      </c>
      <c r="B84" s="27" t="s">
        <v>428</v>
      </c>
      <c r="C84" s="7" t="s">
        <v>426</v>
      </c>
    </row>
    <row r="85" spans="1:3" x14ac:dyDescent="0.4">
      <c r="A85" s="26" t="s">
        <v>429</v>
      </c>
      <c r="B85" s="27" t="s">
        <v>430</v>
      </c>
      <c r="C85" s="7" t="s">
        <v>431</v>
      </c>
    </row>
    <row r="86" spans="1:3" x14ac:dyDescent="0.4">
      <c r="A86" s="26" t="s">
        <v>432</v>
      </c>
      <c r="B86" s="27" t="s">
        <v>433</v>
      </c>
      <c r="C86" s="7" t="s">
        <v>434</v>
      </c>
    </row>
    <row r="87" spans="1:3" x14ac:dyDescent="0.4">
      <c r="A87" s="28" t="s">
        <v>435</v>
      </c>
      <c r="B87" s="27" t="s">
        <v>436</v>
      </c>
      <c r="C87" s="7" t="s">
        <v>437</v>
      </c>
    </row>
    <row r="88" spans="1:3" x14ac:dyDescent="0.4">
      <c r="A88" s="28" t="s">
        <v>438</v>
      </c>
      <c r="B88" s="27" t="s">
        <v>439</v>
      </c>
      <c r="C88" s="7" t="s">
        <v>440</v>
      </c>
    </row>
    <row r="89" spans="1:3" x14ac:dyDescent="0.4">
      <c r="A89" s="26" t="s">
        <v>441</v>
      </c>
      <c r="B89" s="33" t="s">
        <v>442</v>
      </c>
    </row>
    <row r="90" spans="1:3" x14ac:dyDescent="0.4">
      <c r="A90" s="26" t="s">
        <v>443</v>
      </c>
      <c r="B90" s="27" t="s">
        <v>382</v>
      </c>
      <c r="C90" s="7" t="s">
        <v>444</v>
      </c>
    </row>
    <row r="91" spans="1:3" x14ac:dyDescent="0.4">
      <c r="A91" s="7" t="s">
        <v>445</v>
      </c>
      <c r="B91" s="31" t="s">
        <v>446</v>
      </c>
    </row>
    <row r="92" spans="1:3" x14ac:dyDescent="0.4">
      <c r="A92" s="28" t="s">
        <v>447</v>
      </c>
      <c r="B92" s="27" t="s">
        <v>448</v>
      </c>
    </row>
    <row r="93" spans="1:3" x14ac:dyDescent="0.4">
      <c r="A93" s="28" t="s">
        <v>449</v>
      </c>
      <c r="B93" s="27" t="s">
        <v>450</v>
      </c>
    </row>
    <row r="94" spans="1:3" x14ac:dyDescent="0.4">
      <c r="A94" s="28" t="s">
        <v>451</v>
      </c>
      <c r="B94" s="27" t="s">
        <v>452</v>
      </c>
      <c r="C94" s="7" t="s">
        <v>453</v>
      </c>
    </row>
    <row r="95" spans="1:3" x14ac:dyDescent="0.4">
      <c r="A95" s="26" t="s">
        <v>454</v>
      </c>
      <c r="B95" s="27" t="s">
        <v>455</v>
      </c>
    </row>
    <row r="96" spans="1:3" x14ac:dyDescent="0.4">
      <c r="A96" s="34" t="s">
        <v>456</v>
      </c>
      <c r="B96" s="26" t="s">
        <v>457</v>
      </c>
    </row>
    <row r="97" spans="1:2" x14ac:dyDescent="0.4">
      <c r="A97" s="34" t="s">
        <v>458</v>
      </c>
      <c r="B97" s="26" t="s">
        <v>459</v>
      </c>
    </row>
    <row r="98" spans="1:2" x14ac:dyDescent="0.4">
      <c r="A98" s="34" t="s">
        <v>460</v>
      </c>
      <c r="B98" s="26" t="s">
        <v>461</v>
      </c>
    </row>
  </sheetData>
  <mergeCells count="2">
    <mergeCell ref="B15:B16"/>
    <mergeCell ref="B50:B51"/>
  </mergeCells>
  <phoneticPr fontId="3" type="noConversion"/>
  <hyperlinks>
    <hyperlink ref="A16" r:id="rId1" xr:uid="{00000000-0004-0000-0600-000000000000}"/>
    <hyperlink ref="A30" r:id="rId2" xr:uid="{00000000-0004-0000-0600-000001000000}"/>
    <hyperlink ref="A41" r:id="rId3" xr:uid="{00000000-0004-0000-0600-000002000000}"/>
    <hyperlink ref="A45" r:id="rId4" xr:uid="{00000000-0004-0000-0600-000003000000}"/>
    <hyperlink ref="A46" r:id="rId5" xr:uid="{00000000-0004-0000-0600-000004000000}"/>
    <hyperlink ref="A77" r:id="rId6" xr:uid="{00000000-0004-0000-0600-000005000000}"/>
    <hyperlink ref="A92" r:id="rId7" xr:uid="{00000000-0004-0000-0600-000006000000}"/>
    <hyperlink ref="A93" r:id="rId8" xr:uid="{00000000-0004-0000-0600-000007000000}"/>
    <hyperlink ref="A87" r:id="rId9" xr:uid="{00000000-0004-0000-0600-000008000000}"/>
    <hyperlink ref="A94" r:id="rId10" xr:uid="{00000000-0004-0000-0600-000009000000}"/>
    <hyperlink ref="A96" r:id="rId11" xr:uid="{00000000-0004-0000-0600-00000A000000}"/>
    <hyperlink ref="A97" r:id="rId12" xr:uid="{00000000-0004-0000-0600-00000B000000}"/>
    <hyperlink ref="A98" r:id="rId13" xr:uid="{00000000-0004-0000-0600-00000C000000}"/>
    <hyperlink ref="A18" r:id="rId14" xr:uid="{00000000-0004-0000-0600-00000D000000}"/>
    <hyperlink ref="A44" r:id="rId15" xr:uid="{00000000-0004-0000-0600-00000E000000}"/>
  </hyperlinks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2:L543"/>
  <sheetViews>
    <sheetView zoomScale="85" zoomScaleNormal="85" zoomScaleSheetLayoutView="85" workbookViewId="0">
      <pane ySplit="5" topLeftCell="A336" activePane="bottomLeft" state="frozen"/>
      <selection activeCell="F7" sqref="F7"/>
      <selection pane="bottomLeft" activeCell="E374" sqref="E374"/>
    </sheetView>
  </sheetViews>
  <sheetFormatPr defaultColWidth="9" defaultRowHeight="13.2" x14ac:dyDescent="0.4"/>
  <cols>
    <col min="1" max="1" width="4.09765625" style="35" bestFit="1" customWidth="1"/>
    <col min="2" max="2" width="15.5" style="36" customWidth="1"/>
    <col min="3" max="3" width="9.19921875" style="36" bestFit="1" customWidth="1"/>
    <col min="4" max="4" width="9.69921875" style="36" bestFit="1" customWidth="1"/>
    <col min="5" max="5" width="53.19921875" style="36" customWidth="1"/>
    <col min="6" max="6" width="43.8984375" style="36" customWidth="1"/>
    <col min="7" max="7" width="52.3984375" style="36" bestFit="1" customWidth="1"/>
    <col min="8" max="8" width="24.8984375" style="36" bestFit="1" customWidth="1"/>
    <col min="9" max="9" width="13.8984375" style="36" bestFit="1" customWidth="1"/>
    <col min="10" max="11" width="10.19921875" style="36" bestFit="1" customWidth="1"/>
    <col min="12" max="12" width="57.8984375" style="36" bestFit="1" customWidth="1"/>
    <col min="13" max="16384" width="9" style="36"/>
  </cols>
  <sheetData>
    <row r="2" spans="1:12" x14ac:dyDescent="0.4">
      <c r="B2" s="36" t="s">
        <v>462</v>
      </c>
    </row>
    <row r="4" spans="1:12" x14ac:dyDescent="0.4">
      <c r="A4" s="206" t="s">
        <v>463</v>
      </c>
      <c r="B4" s="206" t="s">
        <v>464</v>
      </c>
      <c r="C4" s="206" t="s">
        <v>465</v>
      </c>
      <c r="D4" s="206"/>
      <c r="E4" s="207" t="s">
        <v>466</v>
      </c>
      <c r="F4" s="206" t="s">
        <v>467</v>
      </c>
      <c r="G4" s="206" t="s">
        <v>468</v>
      </c>
      <c r="H4" s="206" t="s">
        <v>469</v>
      </c>
      <c r="I4" s="206" t="s">
        <v>470</v>
      </c>
      <c r="J4" s="206" t="s">
        <v>471</v>
      </c>
      <c r="K4" s="206"/>
      <c r="L4" s="206" t="s">
        <v>472</v>
      </c>
    </row>
    <row r="5" spans="1:12" ht="12.75" customHeight="1" x14ac:dyDescent="0.4">
      <c r="A5" s="206"/>
      <c r="B5" s="206"/>
      <c r="C5" s="37" t="s">
        <v>473</v>
      </c>
      <c r="D5" s="37" t="s">
        <v>474</v>
      </c>
      <c r="E5" s="208"/>
      <c r="F5" s="206"/>
      <c r="G5" s="206"/>
      <c r="H5" s="206"/>
      <c r="I5" s="206"/>
      <c r="J5" s="37" t="s">
        <v>475</v>
      </c>
      <c r="K5" s="37" t="s">
        <v>476</v>
      </c>
      <c r="L5" s="206"/>
    </row>
    <row r="6" spans="1:12" ht="26.4" x14ac:dyDescent="0.4">
      <c r="A6" s="37">
        <f t="shared" ref="A6:A69" si="0">A5+1</f>
        <v>1</v>
      </c>
      <c r="B6" s="38" t="s">
        <v>2885</v>
      </c>
      <c r="C6" s="37" t="s">
        <v>2886</v>
      </c>
      <c r="D6" s="37" t="s">
        <v>2887</v>
      </c>
      <c r="E6" s="39" t="s">
        <v>2888</v>
      </c>
      <c r="F6" s="39" t="s">
        <v>2889</v>
      </c>
      <c r="G6" s="40" t="s">
        <v>2890</v>
      </c>
      <c r="H6" s="41">
        <v>7700000000</v>
      </c>
      <c r="I6" s="42">
        <v>42.03</v>
      </c>
      <c r="J6" s="43">
        <v>43045</v>
      </c>
      <c r="K6" s="43">
        <v>43738</v>
      </c>
      <c r="L6" s="82" t="s">
        <v>2891</v>
      </c>
    </row>
    <row r="7" spans="1:12" ht="17.399999999999999" x14ac:dyDescent="0.4">
      <c r="A7" s="37">
        <f t="shared" si="0"/>
        <v>2</v>
      </c>
      <c r="B7" s="38" t="s">
        <v>2857</v>
      </c>
      <c r="C7" s="37" t="s">
        <v>2858</v>
      </c>
      <c r="D7" s="37" t="s">
        <v>2859</v>
      </c>
      <c r="E7" s="39" t="s">
        <v>2860</v>
      </c>
      <c r="F7" s="39" t="s">
        <v>1699</v>
      </c>
      <c r="G7" s="39" t="s">
        <v>2861</v>
      </c>
      <c r="H7" s="41">
        <v>7000000000</v>
      </c>
      <c r="I7" s="42">
        <v>40.369999999999997</v>
      </c>
      <c r="J7" s="43">
        <v>43473</v>
      </c>
      <c r="K7" s="43">
        <v>43784</v>
      </c>
      <c r="L7" s="82" t="s">
        <v>2862</v>
      </c>
    </row>
    <row r="8" spans="1:12" ht="17.399999999999999" x14ac:dyDescent="0.4">
      <c r="A8" s="37">
        <f t="shared" si="0"/>
        <v>3</v>
      </c>
      <c r="B8" s="38" t="s">
        <v>2533</v>
      </c>
      <c r="C8" s="37"/>
      <c r="D8" s="37" t="s">
        <v>2699</v>
      </c>
      <c r="E8" s="39" t="s">
        <v>1414</v>
      </c>
      <c r="F8" s="39" t="s">
        <v>2820</v>
      </c>
      <c r="G8" s="39" t="s">
        <v>2821</v>
      </c>
      <c r="H8" s="41">
        <v>113990250000</v>
      </c>
      <c r="I8" s="42">
        <v>18.21</v>
      </c>
      <c r="J8" s="43">
        <v>42877</v>
      </c>
      <c r="K8" s="43">
        <v>43840</v>
      </c>
      <c r="L8" s="82" t="s">
        <v>2822</v>
      </c>
    </row>
    <row r="9" spans="1:12" ht="17.399999999999999" x14ac:dyDescent="0.4">
      <c r="A9" s="37">
        <f t="shared" si="0"/>
        <v>4</v>
      </c>
      <c r="B9" s="38" t="s">
        <v>2785</v>
      </c>
      <c r="C9" s="37"/>
      <c r="D9" s="37" t="s">
        <v>2786</v>
      </c>
      <c r="E9" s="39" t="s">
        <v>2787</v>
      </c>
      <c r="F9" s="39" t="s">
        <v>1618</v>
      </c>
      <c r="G9" s="39" t="s">
        <v>2788</v>
      </c>
      <c r="H9" s="41">
        <v>17399051233</v>
      </c>
      <c r="I9" s="42">
        <v>34.479999999999997</v>
      </c>
      <c r="J9" s="43">
        <v>43650</v>
      </c>
      <c r="K9" s="43">
        <v>43860</v>
      </c>
      <c r="L9" s="82" t="s">
        <v>2789</v>
      </c>
    </row>
    <row r="10" spans="1:12" ht="26.4" x14ac:dyDescent="0.4">
      <c r="A10" s="37">
        <f t="shared" si="0"/>
        <v>5</v>
      </c>
      <c r="B10" s="38" t="s">
        <v>1165</v>
      </c>
      <c r="C10" s="37"/>
      <c r="D10" s="37" t="s">
        <v>2815</v>
      </c>
      <c r="E10" s="40" t="s">
        <v>2816</v>
      </c>
      <c r="F10" s="39" t="s">
        <v>2817</v>
      </c>
      <c r="G10" s="39" t="s">
        <v>2818</v>
      </c>
      <c r="H10" s="41">
        <v>18469559999</v>
      </c>
      <c r="I10" s="42">
        <v>23.2</v>
      </c>
      <c r="J10" s="43">
        <v>43343</v>
      </c>
      <c r="K10" s="43">
        <v>43861</v>
      </c>
      <c r="L10" s="82" t="s">
        <v>2819</v>
      </c>
    </row>
    <row r="11" spans="1:12" ht="17.399999999999999" x14ac:dyDescent="0.4">
      <c r="A11" s="37">
        <f t="shared" si="0"/>
        <v>6</v>
      </c>
      <c r="B11" s="38" t="s">
        <v>1319</v>
      </c>
      <c r="C11" s="37" t="s">
        <v>2880</v>
      </c>
      <c r="D11" s="37" t="s">
        <v>2881</v>
      </c>
      <c r="E11" s="39" t="s">
        <v>1403</v>
      </c>
      <c r="F11" s="39" t="s">
        <v>2882</v>
      </c>
      <c r="G11" s="39" t="s">
        <v>2883</v>
      </c>
      <c r="H11" s="41">
        <v>26732000000</v>
      </c>
      <c r="I11" s="42">
        <v>30.25</v>
      </c>
      <c r="J11" s="43">
        <v>43027</v>
      </c>
      <c r="K11" s="43">
        <v>43861</v>
      </c>
      <c r="L11" s="82" t="s">
        <v>2884</v>
      </c>
    </row>
    <row r="12" spans="1:12" ht="17.399999999999999" x14ac:dyDescent="0.4">
      <c r="A12" s="37">
        <f t="shared" si="0"/>
        <v>7</v>
      </c>
      <c r="B12" s="38" t="s">
        <v>117</v>
      </c>
      <c r="C12" s="37" t="s">
        <v>2867</v>
      </c>
      <c r="D12" s="37" t="s">
        <v>2868</v>
      </c>
      <c r="E12" s="39" t="s">
        <v>1267</v>
      </c>
      <c r="F12" s="39" t="s">
        <v>2869</v>
      </c>
      <c r="G12" s="39" t="s">
        <v>2870</v>
      </c>
      <c r="H12" s="41">
        <v>39000000000</v>
      </c>
      <c r="I12" s="42">
        <v>44.8</v>
      </c>
      <c r="J12" s="43">
        <v>43437</v>
      </c>
      <c r="K12" s="43">
        <v>43881</v>
      </c>
      <c r="L12" s="82" t="s">
        <v>2871</v>
      </c>
    </row>
    <row r="13" spans="1:12" ht="17.399999999999999" x14ac:dyDescent="0.4">
      <c r="A13" s="37">
        <f t="shared" si="0"/>
        <v>8</v>
      </c>
      <c r="B13" s="38" t="s">
        <v>2790</v>
      </c>
      <c r="C13" s="37"/>
      <c r="D13" s="37" t="s">
        <v>2786</v>
      </c>
      <c r="E13" s="39"/>
      <c r="F13" s="39" t="s">
        <v>2791</v>
      </c>
      <c r="G13" s="39" t="s">
        <v>2792</v>
      </c>
      <c r="H13" s="41">
        <v>2400000000</v>
      </c>
      <c r="I13" s="42">
        <v>10.07</v>
      </c>
      <c r="J13" s="43">
        <v>43752</v>
      </c>
      <c r="K13" s="43">
        <v>43910</v>
      </c>
      <c r="L13" s="82" t="s">
        <v>2793</v>
      </c>
    </row>
    <row r="14" spans="1:12" ht="17.399999999999999" x14ac:dyDescent="0.4">
      <c r="A14" s="37">
        <f t="shared" si="0"/>
        <v>9</v>
      </c>
      <c r="B14" s="38" t="s">
        <v>2779</v>
      </c>
      <c r="C14" s="37" t="s">
        <v>2780</v>
      </c>
      <c r="D14" s="37" t="s">
        <v>2781</v>
      </c>
      <c r="E14" s="39" t="s">
        <v>1484</v>
      </c>
      <c r="F14" s="39" t="s">
        <v>2782</v>
      </c>
      <c r="G14" s="39" t="s">
        <v>2783</v>
      </c>
      <c r="H14" s="41">
        <v>23636363636</v>
      </c>
      <c r="I14" s="42">
        <v>11.83</v>
      </c>
      <c r="J14" s="43">
        <v>43577</v>
      </c>
      <c r="K14" s="43">
        <v>43921</v>
      </c>
      <c r="L14" s="82" t="s">
        <v>2784</v>
      </c>
    </row>
    <row r="15" spans="1:12" ht="17.399999999999999" x14ac:dyDescent="0.4">
      <c r="A15" s="37">
        <f t="shared" si="0"/>
        <v>10</v>
      </c>
      <c r="B15" s="38" t="s">
        <v>2799</v>
      </c>
      <c r="C15" s="37"/>
      <c r="D15" s="37" t="s">
        <v>2800</v>
      </c>
      <c r="E15" s="39" t="s">
        <v>2801</v>
      </c>
      <c r="F15" s="39" t="s">
        <v>2802</v>
      </c>
      <c r="G15" s="39" t="s">
        <v>2803</v>
      </c>
      <c r="H15" s="41">
        <v>10599000000</v>
      </c>
      <c r="I15" s="42">
        <v>27.12</v>
      </c>
      <c r="J15" s="43">
        <v>43696</v>
      </c>
      <c r="K15" s="43">
        <v>43921</v>
      </c>
      <c r="L15" s="82" t="s">
        <v>2804</v>
      </c>
    </row>
    <row r="16" spans="1:12" ht="17.399999999999999" x14ac:dyDescent="0.4">
      <c r="A16" s="37">
        <f t="shared" si="0"/>
        <v>11</v>
      </c>
      <c r="B16" s="38" t="s">
        <v>2832</v>
      </c>
      <c r="C16" s="37" t="s">
        <v>2833</v>
      </c>
      <c r="D16" s="37" t="s">
        <v>2834</v>
      </c>
      <c r="E16" s="39" t="s">
        <v>2835</v>
      </c>
      <c r="F16" s="39" t="s">
        <v>2333</v>
      </c>
      <c r="G16" s="39" t="s">
        <v>2836</v>
      </c>
      <c r="H16" s="41">
        <v>10000000000</v>
      </c>
      <c r="I16" s="42">
        <v>13.14</v>
      </c>
      <c r="J16" s="43">
        <v>43282</v>
      </c>
      <c r="K16" s="43">
        <v>43921</v>
      </c>
      <c r="L16" s="82" t="s">
        <v>2837</v>
      </c>
    </row>
    <row r="17" spans="1:12" ht="17.399999999999999" x14ac:dyDescent="0.4">
      <c r="A17" s="37">
        <f t="shared" si="0"/>
        <v>12</v>
      </c>
      <c r="B17" s="38" t="s">
        <v>2842</v>
      </c>
      <c r="C17" s="37" t="s">
        <v>2843</v>
      </c>
      <c r="D17" s="37" t="s">
        <v>2773</v>
      </c>
      <c r="E17" s="39" t="s">
        <v>2844</v>
      </c>
      <c r="F17" s="39" t="s">
        <v>2845</v>
      </c>
      <c r="G17" s="39" t="s">
        <v>2846</v>
      </c>
      <c r="H17" s="41">
        <v>18000000000</v>
      </c>
      <c r="I17" s="42">
        <v>56.6</v>
      </c>
      <c r="J17" s="43">
        <v>43546</v>
      </c>
      <c r="K17" s="43">
        <v>43921</v>
      </c>
      <c r="L17" s="82" t="s">
        <v>2847</v>
      </c>
    </row>
    <row r="18" spans="1:12" ht="26.4" x14ac:dyDescent="0.4">
      <c r="A18" s="37">
        <f t="shared" si="0"/>
        <v>13</v>
      </c>
      <c r="B18" s="38" t="s">
        <v>434</v>
      </c>
      <c r="C18" s="37" t="s">
        <v>2709</v>
      </c>
      <c r="D18" s="37" t="s">
        <v>2710</v>
      </c>
      <c r="E18" s="40" t="s">
        <v>2711</v>
      </c>
      <c r="F18" s="39" t="s">
        <v>2546</v>
      </c>
      <c r="G18" s="40" t="s">
        <v>2712</v>
      </c>
      <c r="H18" s="41">
        <v>68089689046</v>
      </c>
      <c r="I18" s="42">
        <v>89.79</v>
      </c>
      <c r="J18" s="43">
        <v>43040</v>
      </c>
      <c r="K18" s="43">
        <v>43934</v>
      </c>
      <c r="L18" s="118" t="s">
        <v>2713</v>
      </c>
    </row>
    <row r="19" spans="1:12" ht="39.6" x14ac:dyDescent="0.4">
      <c r="A19" s="37">
        <f t="shared" si="0"/>
        <v>14</v>
      </c>
      <c r="B19" s="38" t="s">
        <v>723</v>
      </c>
      <c r="C19" s="37" t="s">
        <v>2722</v>
      </c>
      <c r="D19" s="37" t="s">
        <v>2723</v>
      </c>
      <c r="E19" s="39" t="s">
        <v>2724</v>
      </c>
      <c r="F19" s="39" t="s">
        <v>491</v>
      </c>
      <c r="G19" s="40" t="s">
        <v>2725</v>
      </c>
      <c r="H19" s="41">
        <v>148355185136</v>
      </c>
      <c r="I19" s="42">
        <v>16.36</v>
      </c>
      <c r="J19" s="43">
        <v>43536</v>
      </c>
      <c r="K19" s="43">
        <v>43935</v>
      </c>
      <c r="L19" s="82" t="s">
        <v>2726</v>
      </c>
    </row>
    <row r="20" spans="1:12" ht="17.399999999999999" x14ac:dyDescent="0.4">
      <c r="A20" s="37">
        <f t="shared" si="0"/>
        <v>15</v>
      </c>
      <c r="B20" s="38" t="s">
        <v>1264</v>
      </c>
      <c r="C20" s="37"/>
      <c r="D20" s="37" t="s">
        <v>2696</v>
      </c>
      <c r="E20" s="39"/>
      <c r="F20" s="39" t="s">
        <v>491</v>
      </c>
      <c r="G20" s="39" t="s">
        <v>2697</v>
      </c>
      <c r="H20" s="41">
        <v>2205912904</v>
      </c>
      <c r="I20" s="42">
        <v>7.42</v>
      </c>
      <c r="J20" s="43">
        <v>43763</v>
      </c>
      <c r="K20" s="43">
        <v>43951</v>
      </c>
      <c r="L20" s="82" t="s">
        <v>2698</v>
      </c>
    </row>
    <row r="21" spans="1:12" ht="17.399999999999999" x14ac:dyDescent="0.4">
      <c r="A21" s="37">
        <f t="shared" si="0"/>
        <v>16</v>
      </c>
      <c r="B21" s="38" t="s">
        <v>2737</v>
      </c>
      <c r="C21" s="37" t="s">
        <v>2738</v>
      </c>
      <c r="D21" s="37" t="s">
        <v>2739</v>
      </c>
      <c r="E21" s="39"/>
      <c r="F21" s="39" t="s">
        <v>2014</v>
      </c>
      <c r="G21" s="39" t="s">
        <v>2015</v>
      </c>
      <c r="H21" s="41">
        <v>55000000000</v>
      </c>
      <c r="I21" s="42">
        <v>5.58</v>
      </c>
      <c r="J21" s="43">
        <v>43313</v>
      </c>
      <c r="K21" s="43">
        <v>43951</v>
      </c>
      <c r="L21" s="82" t="s">
        <v>2740</v>
      </c>
    </row>
    <row r="22" spans="1:12" ht="26.4" x14ac:dyDescent="0.4">
      <c r="A22" s="37">
        <f t="shared" si="0"/>
        <v>17</v>
      </c>
      <c r="B22" s="38" t="s">
        <v>2741</v>
      </c>
      <c r="C22" s="37" t="s">
        <v>2742</v>
      </c>
      <c r="D22" s="37" t="s">
        <v>2739</v>
      </c>
      <c r="E22" s="39" t="s">
        <v>2743</v>
      </c>
      <c r="F22" s="39" t="s">
        <v>2617</v>
      </c>
      <c r="G22" s="40" t="s">
        <v>2744</v>
      </c>
      <c r="H22" s="41">
        <v>10750000000</v>
      </c>
      <c r="I22" s="42">
        <v>18.66</v>
      </c>
      <c r="J22" s="43">
        <v>43691</v>
      </c>
      <c r="K22" s="43">
        <v>43951</v>
      </c>
      <c r="L22" s="82" t="s">
        <v>2745</v>
      </c>
    </row>
    <row r="23" spans="1:12" ht="17.399999999999999" x14ac:dyDescent="0.4">
      <c r="A23" s="37">
        <f t="shared" si="0"/>
        <v>18</v>
      </c>
      <c r="B23" s="38" t="s">
        <v>2684</v>
      </c>
      <c r="C23" s="37"/>
      <c r="D23" s="37" t="s">
        <v>2685</v>
      </c>
      <c r="E23" s="39"/>
      <c r="F23" s="39" t="s">
        <v>2686</v>
      </c>
      <c r="G23" s="39" t="s">
        <v>2687</v>
      </c>
      <c r="H23" s="41">
        <v>12282697450</v>
      </c>
      <c r="I23" s="42">
        <v>9.82</v>
      </c>
      <c r="J23" s="43">
        <v>43752</v>
      </c>
      <c r="K23" s="43">
        <v>43982</v>
      </c>
      <c r="L23" s="82" t="s">
        <v>2688</v>
      </c>
    </row>
    <row r="24" spans="1:12" ht="17.399999999999999" x14ac:dyDescent="0.4">
      <c r="A24" s="37">
        <f t="shared" si="0"/>
        <v>19</v>
      </c>
      <c r="B24" s="38" t="s">
        <v>2839</v>
      </c>
      <c r="C24" s="37"/>
      <c r="D24" s="37" t="s">
        <v>2559</v>
      </c>
      <c r="E24" s="39"/>
      <c r="F24" s="39" t="s">
        <v>1618</v>
      </c>
      <c r="G24" s="39" t="s">
        <v>2840</v>
      </c>
      <c r="H24" s="41">
        <v>12580000000</v>
      </c>
      <c r="I24" s="42">
        <v>22.2</v>
      </c>
      <c r="J24" s="43">
        <v>43795</v>
      </c>
      <c r="K24" s="43">
        <v>43982</v>
      </c>
      <c r="L24" s="82" t="s">
        <v>2841</v>
      </c>
    </row>
    <row r="25" spans="1:12" ht="17.399999999999999" x14ac:dyDescent="0.4">
      <c r="A25" s="37">
        <f t="shared" si="0"/>
        <v>20</v>
      </c>
      <c r="B25" s="38" t="s">
        <v>2811</v>
      </c>
      <c r="C25" s="37"/>
      <c r="D25" s="37" t="s">
        <v>2812</v>
      </c>
      <c r="E25" s="39"/>
      <c r="F25" s="39" t="s">
        <v>491</v>
      </c>
      <c r="G25" s="39" t="s">
        <v>2813</v>
      </c>
      <c r="H25" s="41">
        <v>5800000000</v>
      </c>
      <c r="I25" s="42">
        <v>18.34</v>
      </c>
      <c r="J25" s="43">
        <v>43976</v>
      </c>
      <c r="K25" s="43">
        <v>43983</v>
      </c>
      <c r="L25" s="82" t="s">
        <v>2814</v>
      </c>
    </row>
    <row r="26" spans="1:12" ht="17.399999999999999" x14ac:dyDescent="0.4">
      <c r="A26" s="37">
        <f t="shared" si="0"/>
        <v>21</v>
      </c>
      <c r="B26" s="38" t="s">
        <v>2673</v>
      </c>
      <c r="C26" s="37" t="s">
        <v>2674</v>
      </c>
      <c r="D26" s="37" t="s">
        <v>2412</v>
      </c>
      <c r="E26" s="39" t="s">
        <v>2675</v>
      </c>
      <c r="F26" s="39" t="s">
        <v>2676</v>
      </c>
      <c r="G26" s="39" t="s">
        <v>2677</v>
      </c>
      <c r="H26" s="41">
        <v>55354960171</v>
      </c>
      <c r="I26" s="42">
        <v>18.2</v>
      </c>
      <c r="J26" s="43">
        <v>43405</v>
      </c>
      <c r="K26" s="43">
        <v>43999</v>
      </c>
      <c r="L26" s="82" t="s">
        <v>2678</v>
      </c>
    </row>
    <row r="27" spans="1:12" ht="17.399999999999999" x14ac:dyDescent="0.4">
      <c r="A27" s="37">
        <f t="shared" si="0"/>
        <v>22</v>
      </c>
      <c r="B27" s="38" t="s">
        <v>1350</v>
      </c>
      <c r="C27" s="37" t="s">
        <v>2699</v>
      </c>
      <c r="D27" s="37" t="s">
        <v>2700</v>
      </c>
      <c r="E27" s="39" t="s">
        <v>2701</v>
      </c>
      <c r="F27" s="39" t="s">
        <v>2702</v>
      </c>
      <c r="G27" s="39" t="s">
        <v>2703</v>
      </c>
      <c r="H27" s="41">
        <v>12574000000</v>
      </c>
      <c r="I27" s="42">
        <v>12.06</v>
      </c>
      <c r="J27" s="43">
        <v>43306</v>
      </c>
      <c r="K27" s="43">
        <v>44012</v>
      </c>
      <c r="L27" s="82" t="s">
        <v>2704</v>
      </c>
    </row>
    <row r="28" spans="1:12" ht="17.399999999999999" x14ac:dyDescent="0.4">
      <c r="A28" s="37">
        <f t="shared" si="0"/>
        <v>23</v>
      </c>
      <c r="B28" s="38" t="s">
        <v>2746</v>
      </c>
      <c r="C28" s="37" t="s">
        <v>2747</v>
      </c>
      <c r="D28" s="37" t="s">
        <v>2748</v>
      </c>
      <c r="E28" s="39" t="s">
        <v>2749</v>
      </c>
      <c r="F28" s="39" t="s">
        <v>491</v>
      </c>
      <c r="G28" s="39" t="s">
        <v>2750</v>
      </c>
      <c r="H28" s="41">
        <v>11250000000</v>
      </c>
      <c r="I28" s="42">
        <v>7.54</v>
      </c>
      <c r="J28" s="43">
        <v>43724</v>
      </c>
      <c r="K28" s="43">
        <v>44012</v>
      </c>
      <c r="L28" s="82" t="s">
        <v>2751</v>
      </c>
    </row>
    <row r="29" spans="1:12" ht="17.399999999999999" x14ac:dyDescent="0.4">
      <c r="A29" s="37">
        <f t="shared" si="0"/>
        <v>24</v>
      </c>
      <c r="B29" s="38" t="s">
        <v>2794</v>
      </c>
      <c r="C29" s="37"/>
      <c r="D29" s="37" t="s">
        <v>2795</v>
      </c>
      <c r="E29" s="39"/>
      <c r="F29" s="39" t="s">
        <v>2796</v>
      </c>
      <c r="G29" s="39" t="s">
        <v>2797</v>
      </c>
      <c r="H29" s="41">
        <v>7846472000</v>
      </c>
      <c r="I29" s="42">
        <v>11.95</v>
      </c>
      <c r="J29" s="43">
        <v>43858</v>
      </c>
      <c r="K29" s="43">
        <v>44012</v>
      </c>
      <c r="L29" s="82" t="s">
        <v>2798</v>
      </c>
    </row>
    <row r="30" spans="1:12" ht="17.399999999999999" x14ac:dyDescent="0.4">
      <c r="A30" s="37">
        <f t="shared" si="0"/>
        <v>25</v>
      </c>
      <c r="B30" s="38" t="s">
        <v>2521</v>
      </c>
      <c r="C30" s="37" t="s">
        <v>2653</v>
      </c>
      <c r="D30" s="37" t="s">
        <v>2654</v>
      </c>
      <c r="E30" s="39"/>
      <c r="F30" s="39" t="s">
        <v>2655</v>
      </c>
      <c r="G30" s="40" t="s">
        <v>2656</v>
      </c>
      <c r="H30" s="41">
        <v>12700000000</v>
      </c>
      <c r="I30" s="42">
        <v>34.07</v>
      </c>
      <c r="J30" s="43">
        <v>43550</v>
      </c>
      <c r="K30" s="43">
        <v>44050</v>
      </c>
      <c r="L30" s="82" t="s">
        <v>2657</v>
      </c>
    </row>
    <row r="31" spans="1:12" ht="17.399999999999999" x14ac:dyDescent="0.4">
      <c r="A31" s="37">
        <f t="shared" si="0"/>
        <v>26</v>
      </c>
      <c r="B31" s="38" t="s">
        <v>2665</v>
      </c>
      <c r="C31" s="37" t="s">
        <v>2666</v>
      </c>
      <c r="D31" s="37" t="s">
        <v>2667</v>
      </c>
      <c r="E31" s="39" t="s">
        <v>2668</v>
      </c>
      <c r="F31" s="39" t="s">
        <v>1804</v>
      </c>
      <c r="G31" s="39" t="s">
        <v>2039</v>
      </c>
      <c r="H31" s="41">
        <v>8170000000</v>
      </c>
      <c r="I31" s="42">
        <v>12.35</v>
      </c>
      <c r="J31" s="43">
        <v>43836</v>
      </c>
      <c r="K31" s="43">
        <v>44074</v>
      </c>
      <c r="L31" s="82" t="s">
        <v>2669</v>
      </c>
    </row>
    <row r="32" spans="1:12" ht="17.399999999999999" x14ac:dyDescent="0.4">
      <c r="A32" s="37">
        <f t="shared" si="0"/>
        <v>27</v>
      </c>
      <c r="B32" s="38" t="s">
        <v>2533</v>
      </c>
      <c r="C32" s="37" t="s">
        <v>2611</v>
      </c>
      <c r="D32" s="37" t="s">
        <v>1601</v>
      </c>
      <c r="E32" s="39"/>
      <c r="F32" s="39" t="s">
        <v>2612</v>
      </c>
      <c r="G32" s="39" t="s">
        <v>2613</v>
      </c>
      <c r="H32" s="41">
        <v>55596640000</v>
      </c>
      <c r="I32" s="42">
        <v>8.8800000000000008</v>
      </c>
      <c r="J32" s="43">
        <v>42891</v>
      </c>
      <c r="K32" s="43">
        <v>44099</v>
      </c>
      <c r="L32" s="82" t="s">
        <v>2614</v>
      </c>
    </row>
    <row r="33" spans="1:12" ht="17.399999999999999" x14ac:dyDescent="0.4">
      <c r="A33" s="37">
        <f t="shared" si="0"/>
        <v>28</v>
      </c>
      <c r="B33" s="38" t="s">
        <v>2588</v>
      </c>
      <c r="C33" s="37" t="s">
        <v>2589</v>
      </c>
      <c r="D33" s="37" t="s">
        <v>2590</v>
      </c>
      <c r="E33" s="39" t="s">
        <v>1473</v>
      </c>
      <c r="F33" s="39" t="s">
        <v>2238</v>
      </c>
      <c r="G33" s="39" t="s">
        <v>2591</v>
      </c>
      <c r="H33" s="41">
        <v>18084000000</v>
      </c>
      <c r="I33" s="42">
        <v>20.7</v>
      </c>
      <c r="J33" s="43">
        <v>43742</v>
      </c>
      <c r="K33" s="43">
        <v>44104</v>
      </c>
      <c r="L33" s="82" t="s">
        <v>2592</v>
      </c>
    </row>
    <row r="34" spans="1:12" ht="66" x14ac:dyDescent="0.4">
      <c r="A34" s="37">
        <f t="shared" si="0"/>
        <v>29</v>
      </c>
      <c r="B34" s="38" t="s">
        <v>2632</v>
      </c>
      <c r="C34" s="37" t="s">
        <v>2633</v>
      </c>
      <c r="D34" s="37" t="s">
        <v>2634</v>
      </c>
      <c r="E34" s="39"/>
      <c r="F34" s="39" t="s">
        <v>2635</v>
      </c>
      <c r="G34" s="40" t="s">
        <v>2636</v>
      </c>
      <c r="H34" s="41">
        <v>82800000000</v>
      </c>
      <c r="I34" s="42">
        <v>4.0999999999999996</v>
      </c>
      <c r="J34" s="43">
        <v>43466</v>
      </c>
      <c r="K34" s="43">
        <v>44104</v>
      </c>
      <c r="L34" s="82" t="s">
        <v>2637</v>
      </c>
    </row>
    <row r="35" spans="1:12" ht="17.399999999999999" x14ac:dyDescent="0.4">
      <c r="A35" s="37">
        <f t="shared" si="0"/>
        <v>30</v>
      </c>
      <c r="B35" s="38" t="s">
        <v>2638</v>
      </c>
      <c r="C35" s="37" t="s">
        <v>2639</v>
      </c>
      <c r="D35" s="37" t="s">
        <v>2640</v>
      </c>
      <c r="E35" s="39" t="s">
        <v>1414</v>
      </c>
      <c r="F35" s="39" t="s">
        <v>2369</v>
      </c>
      <c r="G35" s="39" t="s">
        <v>2641</v>
      </c>
      <c r="H35" s="41">
        <v>15500000000</v>
      </c>
      <c r="I35" s="42">
        <v>37</v>
      </c>
      <c r="J35" s="43">
        <v>43815</v>
      </c>
      <c r="K35" s="43">
        <v>44104</v>
      </c>
      <c r="L35" s="82" t="s">
        <v>2642</v>
      </c>
    </row>
    <row r="36" spans="1:12" ht="26.4" x14ac:dyDescent="0.4">
      <c r="A36" s="37">
        <f t="shared" si="0"/>
        <v>31</v>
      </c>
      <c r="B36" s="38" t="s">
        <v>2716</v>
      </c>
      <c r="C36" s="37" t="s">
        <v>2717</v>
      </c>
      <c r="D36" s="37" t="s">
        <v>1682</v>
      </c>
      <c r="E36" s="39" t="s">
        <v>2718</v>
      </c>
      <c r="F36" s="39" t="s">
        <v>2719</v>
      </c>
      <c r="G36" s="40" t="s">
        <v>2720</v>
      </c>
      <c r="H36" s="41">
        <v>75000000000</v>
      </c>
      <c r="I36" s="42">
        <v>15.31</v>
      </c>
      <c r="J36" s="43">
        <v>43021</v>
      </c>
      <c r="K36" s="43">
        <v>44104</v>
      </c>
      <c r="L36" s="82" t="s">
        <v>2721</v>
      </c>
    </row>
    <row r="37" spans="1:12" ht="79.2" x14ac:dyDescent="0.4">
      <c r="A37" s="37">
        <f t="shared" si="0"/>
        <v>32</v>
      </c>
      <c r="B37" s="38" t="s">
        <v>2615</v>
      </c>
      <c r="C37" s="37"/>
      <c r="D37" s="37" t="s">
        <v>2616</v>
      </c>
      <c r="E37" s="39"/>
      <c r="F37" s="39" t="s">
        <v>2617</v>
      </c>
      <c r="G37" s="40" t="s">
        <v>2618</v>
      </c>
      <c r="H37" s="41">
        <v>374551010</v>
      </c>
      <c r="I37" s="42">
        <v>12.92</v>
      </c>
      <c r="J37" s="43">
        <v>44071</v>
      </c>
      <c r="K37" s="43">
        <v>44135</v>
      </c>
      <c r="L37" s="82" t="s">
        <v>2619</v>
      </c>
    </row>
    <row r="38" spans="1:12" ht="17.399999999999999" x14ac:dyDescent="0.4">
      <c r="A38" s="37">
        <f t="shared" si="0"/>
        <v>33</v>
      </c>
      <c r="B38" s="38" t="s">
        <v>1621</v>
      </c>
      <c r="C38" s="37"/>
      <c r="D38" s="37" t="s">
        <v>2769</v>
      </c>
      <c r="E38" s="39"/>
      <c r="F38" s="39" t="s">
        <v>2770</v>
      </c>
      <c r="G38" s="39" t="s">
        <v>2771</v>
      </c>
      <c r="H38" s="45">
        <v>53000000000</v>
      </c>
      <c r="I38" s="42">
        <v>11.9</v>
      </c>
      <c r="J38" s="43">
        <v>43873</v>
      </c>
      <c r="K38" s="43">
        <v>44135</v>
      </c>
      <c r="L38" s="82" t="s">
        <v>2772</v>
      </c>
    </row>
    <row r="39" spans="1:12" ht="17.399999999999999" x14ac:dyDescent="0.4">
      <c r="A39" s="37">
        <f t="shared" si="0"/>
        <v>34</v>
      </c>
      <c r="B39" s="38" t="s">
        <v>2848</v>
      </c>
      <c r="C39" s="37"/>
      <c r="D39" s="37" t="s">
        <v>2035</v>
      </c>
      <c r="E39" s="39"/>
      <c r="F39" s="39" t="s">
        <v>2849</v>
      </c>
      <c r="G39" s="39" t="s">
        <v>2850</v>
      </c>
      <c r="H39" s="41">
        <v>13000000000</v>
      </c>
      <c r="I39" s="42">
        <v>4.7</v>
      </c>
      <c r="J39" s="43">
        <v>43780</v>
      </c>
      <c r="K39" s="43">
        <v>44135</v>
      </c>
      <c r="L39" s="82" t="s">
        <v>2851</v>
      </c>
    </row>
    <row r="40" spans="1:12" ht="17.399999999999999" x14ac:dyDescent="0.4">
      <c r="A40" s="37">
        <f t="shared" si="0"/>
        <v>35</v>
      </c>
      <c r="B40" s="38" t="s">
        <v>2539</v>
      </c>
      <c r="C40" s="37" t="s">
        <v>2540</v>
      </c>
      <c r="D40" s="37" t="s">
        <v>2314</v>
      </c>
      <c r="E40" s="39"/>
      <c r="F40" s="39" t="s">
        <v>2161</v>
      </c>
      <c r="G40" s="39" t="s">
        <v>2253</v>
      </c>
      <c r="H40" s="41">
        <v>28187000000</v>
      </c>
      <c r="I40" s="42">
        <v>34.6</v>
      </c>
      <c r="J40" s="43">
        <v>43753</v>
      </c>
      <c r="K40" s="43">
        <v>44165</v>
      </c>
      <c r="L40" s="118" t="s">
        <v>2541</v>
      </c>
    </row>
    <row r="41" spans="1:12" ht="17.399999999999999" x14ac:dyDescent="0.4">
      <c r="A41" s="37">
        <f t="shared" si="0"/>
        <v>36</v>
      </c>
      <c r="B41" s="38" t="s">
        <v>2658</v>
      </c>
      <c r="C41" s="37" t="s">
        <v>2659</v>
      </c>
      <c r="D41" s="37" t="s">
        <v>2654</v>
      </c>
      <c r="E41" s="39"/>
      <c r="F41" s="39" t="s">
        <v>2500</v>
      </c>
      <c r="G41" s="39" t="s">
        <v>2660</v>
      </c>
      <c r="H41" s="41">
        <v>30635000000</v>
      </c>
      <c r="I41" s="42">
        <v>14.97</v>
      </c>
      <c r="J41" s="43">
        <v>43699</v>
      </c>
      <c r="K41" s="43">
        <v>44165</v>
      </c>
      <c r="L41" s="82" t="s">
        <v>2661</v>
      </c>
    </row>
    <row r="42" spans="1:12" ht="17.399999999999999" x14ac:dyDescent="0.4">
      <c r="A42" s="37">
        <f t="shared" si="0"/>
        <v>37</v>
      </c>
      <c r="B42" s="38" t="s">
        <v>2525</v>
      </c>
      <c r="C42" s="37"/>
      <c r="D42" s="37" t="s">
        <v>2526</v>
      </c>
      <c r="E42" s="39" t="s">
        <v>2527</v>
      </c>
      <c r="F42" s="39" t="s">
        <v>764</v>
      </c>
      <c r="G42" s="39" t="s">
        <v>2528</v>
      </c>
      <c r="H42" s="41">
        <v>10731567000</v>
      </c>
      <c r="I42" s="42">
        <v>28.79</v>
      </c>
      <c r="J42" s="43">
        <v>42871</v>
      </c>
      <c r="K42" s="43">
        <v>44175</v>
      </c>
      <c r="L42" s="82" t="s">
        <v>2529</v>
      </c>
    </row>
    <row r="43" spans="1:12" ht="17.399999999999999" x14ac:dyDescent="0.4">
      <c r="A43" s="37">
        <f t="shared" si="0"/>
        <v>38</v>
      </c>
      <c r="B43" s="38" t="s">
        <v>2670</v>
      </c>
      <c r="C43" s="37"/>
      <c r="D43" s="37" t="s">
        <v>2667</v>
      </c>
      <c r="E43" s="39"/>
      <c r="F43" s="39" t="s">
        <v>491</v>
      </c>
      <c r="G43" s="39" t="s">
        <v>2671</v>
      </c>
      <c r="H43" s="41">
        <v>5250000000</v>
      </c>
      <c r="I43" s="42">
        <v>11.63</v>
      </c>
      <c r="J43" s="43">
        <v>44012</v>
      </c>
      <c r="K43" s="43">
        <v>44180</v>
      </c>
      <c r="L43" s="82" t="s">
        <v>2672</v>
      </c>
    </row>
    <row r="44" spans="1:12" ht="17.399999999999999" x14ac:dyDescent="0.4">
      <c r="A44" s="37">
        <f t="shared" si="0"/>
        <v>39</v>
      </c>
      <c r="B44" s="38" t="s">
        <v>1389</v>
      </c>
      <c r="C44" s="37" t="s">
        <v>2503</v>
      </c>
      <c r="D44" s="37" t="s">
        <v>2504</v>
      </c>
      <c r="E44" s="40" t="s">
        <v>1360</v>
      </c>
      <c r="F44" s="39" t="s">
        <v>2505</v>
      </c>
      <c r="G44" s="39" t="s">
        <v>2506</v>
      </c>
      <c r="H44" s="41">
        <v>31000000000</v>
      </c>
      <c r="I44" s="42">
        <v>35.1</v>
      </c>
      <c r="J44" s="43">
        <v>43696</v>
      </c>
      <c r="K44" s="43">
        <v>44196</v>
      </c>
      <c r="L44" s="82" t="s">
        <v>2507</v>
      </c>
    </row>
    <row r="45" spans="1:12" ht="17.399999999999999" x14ac:dyDescent="0.4">
      <c r="A45" s="37">
        <f t="shared" si="0"/>
        <v>40</v>
      </c>
      <c r="B45" s="38" t="s">
        <v>2080</v>
      </c>
      <c r="C45" s="37"/>
      <c r="D45" s="37" t="s">
        <v>2679</v>
      </c>
      <c r="E45" s="39"/>
      <c r="F45" s="39" t="s">
        <v>2680</v>
      </c>
      <c r="G45" s="39" t="s">
        <v>2208</v>
      </c>
      <c r="H45" s="41">
        <v>12226415470</v>
      </c>
      <c r="I45" s="42">
        <v>10.01</v>
      </c>
      <c r="J45" s="43">
        <v>44002</v>
      </c>
      <c r="K45" s="43">
        <v>44196</v>
      </c>
      <c r="L45" s="82" t="s">
        <v>2681</v>
      </c>
    </row>
    <row r="46" spans="1:12" ht="26.4" x14ac:dyDescent="0.4">
      <c r="A46" s="37">
        <f t="shared" si="0"/>
        <v>41</v>
      </c>
      <c r="B46" s="38" t="s">
        <v>423</v>
      </c>
      <c r="C46" s="37"/>
      <c r="D46" s="37" t="s">
        <v>2766</v>
      </c>
      <c r="E46" s="39"/>
      <c r="F46" s="39" t="s">
        <v>1649</v>
      </c>
      <c r="G46" s="40" t="s">
        <v>2767</v>
      </c>
      <c r="H46" s="41">
        <v>479800000000</v>
      </c>
      <c r="I46" s="42">
        <v>22.65</v>
      </c>
      <c r="J46" s="43">
        <v>43874</v>
      </c>
      <c r="K46" s="43">
        <v>44196</v>
      </c>
      <c r="L46" s="82" t="s">
        <v>2768</v>
      </c>
    </row>
    <row r="47" spans="1:12" ht="17.399999999999999" x14ac:dyDescent="0.4">
      <c r="A47" s="37">
        <f t="shared" si="0"/>
        <v>42</v>
      </c>
      <c r="B47" s="38" t="s">
        <v>2823</v>
      </c>
      <c r="C47" s="37" t="s">
        <v>2824</v>
      </c>
      <c r="D47" s="37" t="s">
        <v>2825</v>
      </c>
      <c r="E47" s="39" t="s">
        <v>1473</v>
      </c>
      <c r="F47" s="39" t="s">
        <v>1618</v>
      </c>
      <c r="G47" s="39" t="s">
        <v>2826</v>
      </c>
      <c r="H47" s="41">
        <v>3800000000</v>
      </c>
      <c r="I47" s="42">
        <v>5.42</v>
      </c>
      <c r="J47" s="43">
        <v>43587</v>
      </c>
      <c r="K47" s="43">
        <v>44196</v>
      </c>
      <c r="L47" s="82" t="s">
        <v>2827</v>
      </c>
    </row>
    <row r="48" spans="1:12" ht="17.399999999999999" x14ac:dyDescent="0.4">
      <c r="A48" s="37">
        <f t="shared" si="0"/>
        <v>43</v>
      </c>
      <c r="B48" s="38" t="s">
        <v>2823</v>
      </c>
      <c r="C48" s="37" t="s">
        <v>2828</v>
      </c>
      <c r="D48" s="37" t="s">
        <v>2825</v>
      </c>
      <c r="E48" s="39" t="s">
        <v>1473</v>
      </c>
      <c r="F48" s="39" t="s">
        <v>2829</v>
      </c>
      <c r="G48" s="39" t="s">
        <v>2830</v>
      </c>
      <c r="H48" s="41">
        <v>7100000000</v>
      </c>
      <c r="I48" s="42">
        <v>14.56</v>
      </c>
      <c r="J48" s="43">
        <v>43216</v>
      </c>
      <c r="K48" s="43">
        <v>44196</v>
      </c>
      <c r="L48" s="82" t="s">
        <v>2831</v>
      </c>
    </row>
    <row r="49" spans="1:12" ht="17.399999999999999" x14ac:dyDescent="0.4">
      <c r="A49" s="37">
        <f t="shared" si="0"/>
        <v>44</v>
      </c>
      <c r="B49" s="38" t="s">
        <v>2852</v>
      </c>
      <c r="C49" s="37"/>
      <c r="D49" s="37" t="s">
        <v>2853</v>
      </c>
      <c r="E49" s="39"/>
      <c r="F49" s="39" t="s">
        <v>2854</v>
      </c>
      <c r="G49" s="39" t="s">
        <v>2855</v>
      </c>
      <c r="H49" s="41">
        <v>5350000000</v>
      </c>
      <c r="I49" s="42">
        <v>4.3</v>
      </c>
      <c r="J49" s="43">
        <v>43776</v>
      </c>
      <c r="K49" s="43">
        <v>44196</v>
      </c>
      <c r="L49" s="82" t="s">
        <v>2856</v>
      </c>
    </row>
    <row r="50" spans="1:12" ht="17.399999999999999" x14ac:dyDescent="0.4">
      <c r="A50" s="37">
        <f t="shared" si="0"/>
        <v>45</v>
      </c>
      <c r="B50" s="38" t="s">
        <v>2872</v>
      </c>
      <c r="C50" s="37"/>
      <c r="D50" s="37" t="s">
        <v>2873</v>
      </c>
      <c r="E50" s="39"/>
      <c r="F50" s="39" t="s">
        <v>2874</v>
      </c>
      <c r="G50" s="39" t="s">
        <v>2875</v>
      </c>
      <c r="H50" s="41">
        <v>155300000000</v>
      </c>
      <c r="I50" s="42">
        <v>110.14</v>
      </c>
      <c r="J50" s="43">
        <v>43767</v>
      </c>
      <c r="K50" s="43">
        <v>44196</v>
      </c>
      <c r="L50" s="82" t="s">
        <v>2876</v>
      </c>
    </row>
    <row r="51" spans="1:12" ht="17.399999999999999" x14ac:dyDescent="0.4">
      <c r="A51" s="37">
        <f t="shared" si="0"/>
        <v>46</v>
      </c>
      <c r="B51" s="38" t="s">
        <v>2483</v>
      </c>
      <c r="C51" s="37"/>
      <c r="D51" s="37" t="s">
        <v>2484</v>
      </c>
      <c r="E51" s="39"/>
      <c r="F51" s="39" t="s">
        <v>491</v>
      </c>
      <c r="G51" s="39" t="s">
        <v>2485</v>
      </c>
      <c r="H51" s="41">
        <v>45152037602</v>
      </c>
      <c r="I51" s="42">
        <v>67.09</v>
      </c>
      <c r="J51" s="43">
        <v>43269</v>
      </c>
      <c r="K51" s="43">
        <v>44214</v>
      </c>
      <c r="L51" s="82" t="s">
        <v>2486</v>
      </c>
    </row>
    <row r="52" spans="1:12" ht="17.399999999999999" x14ac:dyDescent="0.4">
      <c r="A52" s="37">
        <f t="shared" si="0"/>
        <v>47</v>
      </c>
      <c r="B52" s="38" t="s">
        <v>2521</v>
      </c>
      <c r="C52" s="37"/>
      <c r="D52" s="37" t="s">
        <v>2522</v>
      </c>
      <c r="E52" s="39"/>
      <c r="F52" s="39" t="s">
        <v>2252</v>
      </c>
      <c r="G52" s="39" t="s">
        <v>2523</v>
      </c>
      <c r="H52" s="41">
        <v>10185000000</v>
      </c>
      <c r="I52" s="42">
        <v>27.33</v>
      </c>
      <c r="J52" s="43">
        <v>43732</v>
      </c>
      <c r="K52" s="43">
        <v>44225</v>
      </c>
      <c r="L52" s="82" t="s">
        <v>2524</v>
      </c>
    </row>
    <row r="53" spans="1:12" ht="26.4" x14ac:dyDescent="0.4">
      <c r="A53" s="37">
        <f t="shared" si="0"/>
        <v>48</v>
      </c>
      <c r="B53" s="38" t="s">
        <v>167</v>
      </c>
      <c r="C53" s="37"/>
      <c r="D53" s="37" t="s">
        <v>2489</v>
      </c>
      <c r="E53" s="39" t="s">
        <v>2490</v>
      </c>
      <c r="F53" s="39" t="s">
        <v>653</v>
      </c>
      <c r="G53" s="40" t="s">
        <v>2491</v>
      </c>
      <c r="H53" s="41">
        <v>56000000000</v>
      </c>
      <c r="I53" s="42">
        <v>84.45</v>
      </c>
      <c r="J53" s="43">
        <v>43571</v>
      </c>
      <c r="K53" s="43">
        <v>44227</v>
      </c>
      <c r="L53" s="82" t="s">
        <v>2492</v>
      </c>
    </row>
    <row r="54" spans="1:12" ht="17.399999999999999" x14ac:dyDescent="0.4">
      <c r="A54" s="37">
        <f t="shared" si="0"/>
        <v>49</v>
      </c>
      <c r="B54" s="38" t="s">
        <v>237</v>
      </c>
      <c r="C54" s="37" t="s">
        <v>2597</v>
      </c>
      <c r="D54" s="37" t="s">
        <v>2598</v>
      </c>
      <c r="E54" s="39" t="s">
        <v>2599</v>
      </c>
      <c r="F54" s="39" t="s">
        <v>1804</v>
      </c>
      <c r="G54" s="39" t="s">
        <v>2600</v>
      </c>
      <c r="H54" s="41">
        <v>8200000000</v>
      </c>
      <c r="I54" s="42">
        <v>10.52</v>
      </c>
      <c r="J54" s="43">
        <v>43800</v>
      </c>
      <c r="K54" s="43">
        <v>44227</v>
      </c>
      <c r="L54" s="82" t="s">
        <v>2601</v>
      </c>
    </row>
    <row r="55" spans="1:12" ht="17.399999999999999" x14ac:dyDescent="0.4">
      <c r="A55" s="37">
        <f t="shared" si="0"/>
        <v>50</v>
      </c>
      <c r="B55" s="38" t="s">
        <v>158</v>
      </c>
      <c r="C55" s="37" t="s">
        <v>2559</v>
      </c>
      <c r="D55" s="37" t="s">
        <v>2560</v>
      </c>
      <c r="E55" s="39" t="s">
        <v>2527</v>
      </c>
      <c r="F55" s="39" t="s">
        <v>2561</v>
      </c>
      <c r="G55" s="39" t="s">
        <v>2562</v>
      </c>
      <c r="H55" s="41">
        <v>44200000000</v>
      </c>
      <c r="I55" s="42">
        <v>20.6</v>
      </c>
      <c r="J55" s="43">
        <v>43794</v>
      </c>
      <c r="K55" s="43">
        <v>44255</v>
      </c>
      <c r="L55" s="82" t="s">
        <v>2563</v>
      </c>
    </row>
    <row r="56" spans="1:12" ht="17.399999999999999" x14ac:dyDescent="0.4">
      <c r="A56" s="37">
        <f t="shared" si="0"/>
        <v>51</v>
      </c>
      <c r="B56" s="38" t="s">
        <v>2892</v>
      </c>
      <c r="C56" s="37"/>
      <c r="D56" s="37" t="s">
        <v>2893</v>
      </c>
      <c r="E56" s="39"/>
      <c r="F56" s="39" t="s">
        <v>2894</v>
      </c>
      <c r="G56" s="39" t="s">
        <v>2895</v>
      </c>
      <c r="H56" s="41">
        <v>65500000000</v>
      </c>
      <c r="I56" s="42">
        <v>34.1</v>
      </c>
      <c r="J56" s="43">
        <v>43728</v>
      </c>
      <c r="K56" s="43">
        <v>44255</v>
      </c>
      <c r="L56" s="82" t="s">
        <v>2896</v>
      </c>
    </row>
    <row r="57" spans="1:12" ht="26.4" x14ac:dyDescent="0.4">
      <c r="A57" s="37">
        <f t="shared" si="0"/>
        <v>52</v>
      </c>
      <c r="B57" s="38" t="s">
        <v>1264</v>
      </c>
      <c r="C57" s="37"/>
      <c r="D57" s="37" t="s">
        <v>2435</v>
      </c>
      <c r="E57" s="39" t="s">
        <v>1360</v>
      </c>
      <c r="F57" s="39" t="s">
        <v>491</v>
      </c>
      <c r="G57" s="40" t="s">
        <v>2436</v>
      </c>
      <c r="H57" s="41">
        <v>7560771400</v>
      </c>
      <c r="I57" s="42">
        <v>18.829999999999998</v>
      </c>
      <c r="J57" s="43">
        <v>44063</v>
      </c>
      <c r="K57" s="43">
        <v>44267</v>
      </c>
      <c r="L57" s="82" t="s">
        <v>2437</v>
      </c>
    </row>
    <row r="58" spans="1:12" ht="66" x14ac:dyDescent="0.4">
      <c r="A58" s="37">
        <f t="shared" si="0"/>
        <v>53</v>
      </c>
      <c r="B58" s="38" t="s">
        <v>148</v>
      </c>
      <c r="C58" s="37" t="s">
        <v>2113</v>
      </c>
      <c r="D58" s="37" t="s">
        <v>2114</v>
      </c>
      <c r="E58" s="37" t="s">
        <v>1722</v>
      </c>
      <c r="F58" s="39" t="s">
        <v>2115</v>
      </c>
      <c r="G58" s="40" t="s">
        <v>2116</v>
      </c>
      <c r="H58" s="41">
        <v>30700000000</v>
      </c>
      <c r="I58" s="42">
        <v>10.1</v>
      </c>
      <c r="J58" s="43">
        <v>44070</v>
      </c>
      <c r="K58" s="43">
        <v>44286</v>
      </c>
      <c r="L58" s="71" t="s">
        <v>2117</v>
      </c>
    </row>
    <row r="59" spans="1:12" ht="17.399999999999999" x14ac:dyDescent="0.4">
      <c r="A59" s="37">
        <f t="shared" si="0"/>
        <v>54</v>
      </c>
      <c r="B59" s="38" t="s">
        <v>2620</v>
      </c>
      <c r="C59" s="37" t="s">
        <v>2621</v>
      </c>
      <c r="D59" s="37" t="s">
        <v>2616</v>
      </c>
      <c r="E59" s="39" t="s">
        <v>2622</v>
      </c>
      <c r="F59" s="39" t="s">
        <v>491</v>
      </c>
      <c r="G59" s="39" t="s">
        <v>2623</v>
      </c>
      <c r="H59" s="41">
        <v>19828000000</v>
      </c>
      <c r="I59" s="42">
        <v>8.42</v>
      </c>
      <c r="J59" s="43">
        <v>43878</v>
      </c>
      <c r="K59" s="43">
        <v>44286</v>
      </c>
      <c r="L59" s="82" t="s">
        <v>2624</v>
      </c>
    </row>
    <row r="60" spans="1:12" ht="17.399999999999999" x14ac:dyDescent="0.4">
      <c r="A60" s="37">
        <f t="shared" si="0"/>
        <v>55</v>
      </c>
      <c r="B60" s="38" t="s">
        <v>2863</v>
      </c>
      <c r="C60" s="37"/>
      <c r="D60" s="37" t="s">
        <v>2859</v>
      </c>
      <c r="E60" s="39"/>
      <c r="F60" s="39" t="s">
        <v>2864</v>
      </c>
      <c r="G60" s="39" t="s">
        <v>2865</v>
      </c>
      <c r="H60" s="41">
        <v>39797000000</v>
      </c>
      <c r="I60" s="42">
        <v>50.32</v>
      </c>
      <c r="J60" s="43">
        <v>43781</v>
      </c>
      <c r="K60" s="43">
        <v>44286</v>
      </c>
      <c r="L60" s="117" t="s">
        <v>2866</v>
      </c>
    </row>
    <row r="61" spans="1:12" ht="26.4" x14ac:dyDescent="0.4">
      <c r="A61" s="37">
        <f t="shared" si="0"/>
        <v>56</v>
      </c>
      <c r="B61" s="38" t="s">
        <v>1821</v>
      </c>
      <c r="C61" s="37" t="s">
        <v>2412</v>
      </c>
      <c r="D61" s="37" t="s">
        <v>2413</v>
      </c>
      <c r="E61" s="39" t="s">
        <v>2414</v>
      </c>
      <c r="F61" s="39" t="s">
        <v>2415</v>
      </c>
      <c r="G61" s="40" t="s">
        <v>2416</v>
      </c>
      <c r="H61" s="41">
        <v>70000000000</v>
      </c>
      <c r="I61" s="42">
        <v>56.77</v>
      </c>
      <c r="J61" s="43">
        <v>43497</v>
      </c>
      <c r="K61" s="43">
        <v>44316</v>
      </c>
      <c r="L61" s="82" t="s">
        <v>2417</v>
      </c>
    </row>
    <row r="62" spans="1:12" ht="17.399999999999999" x14ac:dyDescent="0.4">
      <c r="A62" s="37">
        <f t="shared" si="0"/>
        <v>57</v>
      </c>
      <c r="B62" s="38" t="s">
        <v>2418</v>
      </c>
      <c r="C62" s="37" t="s">
        <v>2419</v>
      </c>
      <c r="D62" s="37" t="s">
        <v>2413</v>
      </c>
      <c r="E62" s="39" t="s">
        <v>2420</v>
      </c>
      <c r="F62" s="39" t="s">
        <v>2421</v>
      </c>
      <c r="G62" s="39" t="s">
        <v>2422</v>
      </c>
      <c r="H62" s="41">
        <v>4300000000</v>
      </c>
      <c r="I62" s="42">
        <v>10.69</v>
      </c>
      <c r="J62" s="43">
        <v>44060</v>
      </c>
      <c r="K62" s="43">
        <v>44316</v>
      </c>
      <c r="L62" s="82" t="s">
        <v>2423</v>
      </c>
    </row>
    <row r="63" spans="1:12" ht="17.399999999999999" x14ac:dyDescent="0.4">
      <c r="A63" s="37">
        <f t="shared" si="0"/>
        <v>58</v>
      </c>
      <c r="B63" s="38" t="s">
        <v>2727</v>
      </c>
      <c r="C63" s="37" t="s">
        <v>2728</v>
      </c>
      <c r="D63" s="37" t="s">
        <v>2723</v>
      </c>
      <c r="E63" s="39" t="s">
        <v>1414</v>
      </c>
      <c r="F63" s="39" t="s">
        <v>2729</v>
      </c>
      <c r="G63" s="39" t="s">
        <v>2730</v>
      </c>
      <c r="H63" s="41">
        <v>93000000000</v>
      </c>
      <c r="I63" s="42">
        <v>13.98</v>
      </c>
      <c r="J63" s="43">
        <v>43410</v>
      </c>
      <c r="K63" s="43">
        <v>44316</v>
      </c>
      <c r="L63" s="82" t="s">
        <v>2731</v>
      </c>
    </row>
    <row r="64" spans="1:12" ht="17.399999999999999" x14ac:dyDescent="0.4">
      <c r="A64" s="37">
        <f t="shared" si="0"/>
        <v>59</v>
      </c>
      <c r="B64" s="38" t="s">
        <v>2385</v>
      </c>
      <c r="C64" s="37"/>
      <c r="D64" s="37" t="s">
        <v>2809</v>
      </c>
      <c r="E64" s="39"/>
      <c r="F64" s="39" t="s">
        <v>2764</v>
      </c>
      <c r="G64" s="39" t="s">
        <v>2388</v>
      </c>
      <c r="H64" s="41">
        <v>88889600000</v>
      </c>
      <c r="I64" s="42">
        <v>35.64</v>
      </c>
      <c r="J64" s="43">
        <v>43838</v>
      </c>
      <c r="K64" s="43">
        <v>44316</v>
      </c>
      <c r="L64" s="82" t="s">
        <v>2810</v>
      </c>
    </row>
    <row r="65" spans="1:12" ht="17.399999999999999" x14ac:dyDescent="0.4">
      <c r="A65" s="37">
        <f t="shared" si="0"/>
        <v>60</v>
      </c>
      <c r="B65" s="38" t="s">
        <v>2385</v>
      </c>
      <c r="C65" s="37"/>
      <c r="D65" s="37" t="s">
        <v>2897</v>
      </c>
      <c r="E65" s="39"/>
      <c r="F65" s="39" t="s">
        <v>2898</v>
      </c>
      <c r="G65" s="39" t="s">
        <v>2388</v>
      </c>
      <c r="H65" s="41">
        <v>180652000000</v>
      </c>
      <c r="I65" s="42">
        <v>72.44</v>
      </c>
      <c r="J65" s="43">
        <v>43679</v>
      </c>
      <c r="K65" s="43">
        <v>44316</v>
      </c>
      <c r="L65" s="82" t="s">
        <v>2899</v>
      </c>
    </row>
    <row r="66" spans="1:12" ht="17.399999999999999" x14ac:dyDescent="0.4">
      <c r="A66" s="37">
        <f t="shared" si="0"/>
        <v>61</v>
      </c>
      <c r="B66" s="38" t="s">
        <v>1247</v>
      </c>
      <c r="C66" s="37"/>
      <c r="D66" s="37" t="s">
        <v>2692</v>
      </c>
      <c r="E66" s="39"/>
      <c r="F66" s="39" t="s">
        <v>2693</v>
      </c>
      <c r="G66" s="39" t="s">
        <v>2694</v>
      </c>
      <c r="H66" s="41">
        <v>61280939662</v>
      </c>
      <c r="I66" s="42">
        <v>15.12</v>
      </c>
      <c r="J66" s="43">
        <v>43958</v>
      </c>
      <c r="K66" s="43">
        <v>44323</v>
      </c>
      <c r="L66" s="82" t="s">
        <v>2695</v>
      </c>
    </row>
    <row r="67" spans="1:12" ht="17.399999999999999" x14ac:dyDescent="0.4">
      <c r="A67" s="37">
        <f t="shared" si="0"/>
        <v>62</v>
      </c>
      <c r="B67" s="38" t="s">
        <v>2268</v>
      </c>
      <c r="C67" s="37" t="s">
        <v>2269</v>
      </c>
      <c r="D67" s="37" t="s">
        <v>2270</v>
      </c>
      <c r="E67" s="39" t="s">
        <v>2271</v>
      </c>
      <c r="F67" s="40" t="s">
        <v>491</v>
      </c>
      <c r="G67" s="40" t="s">
        <v>2272</v>
      </c>
      <c r="H67" s="45">
        <v>10400000000</v>
      </c>
      <c r="I67" s="42">
        <v>12.23</v>
      </c>
      <c r="J67" s="43">
        <v>43777</v>
      </c>
      <c r="K67" s="43">
        <v>44324</v>
      </c>
      <c r="L67" s="70" t="s">
        <v>2273</v>
      </c>
    </row>
    <row r="68" spans="1:12" ht="17.399999999999999" x14ac:dyDescent="0.4">
      <c r="A68" s="37">
        <f t="shared" si="0"/>
        <v>63</v>
      </c>
      <c r="B68" s="38" t="s">
        <v>2549</v>
      </c>
      <c r="C68" s="37"/>
      <c r="D68" s="37" t="s">
        <v>2550</v>
      </c>
      <c r="E68" s="39"/>
      <c r="F68" s="39" t="s">
        <v>491</v>
      </c>
      <c r="G68" s="39" t="s">
        <v>2551</v>
      </c>
      <c r="H68" s="41">
        <v>7753359840</v>
      </c>
      <c r="I68" s="42">
        <v>27.79</v>
      </c>
      <c r="J68" s="43">
        <v>44155</v>
      </c>
      <c r="K68" s="43">
        <v>44335</v>
      </c>
      <c r="L68" s="82" t="s">
        <v>2552</v>
      </c>
    </row>
    <row r="69" spans="1:12" ht="17.399999999999999" x14ac:dyDescent="0.4">
      <c r="A69" s="37">
        <f t="shared" si="0"/>
        <v>64</v>
      </c>
      <c r="B69" s="38" t="s">
        <v>2430</v>
      </c>
      <c r="C69" s="37" t="s">
        <v>2012</v>
      </c>
      <c r="D69" s="37" t="s">
        <v>2431</v>
      </c>
      <c r="E69" s="39" t="s">
        <v>2432</v>
      </c>
      <c r="F69" s="39" t="s">
        <v>491</v>
      </c>
      <c r="G69" s="39" t="s">
        <v>2433</v>
      </c>
      <c r="H69" s="41">
        <v>47641840098</v>
      </c>
      <c r="I69" s="42">
        <v>18.52</v>
      </c>
      <c r="J69" s="43">
        <v>43594</v>
      </c>
      <c r="K69" s="43">
        <v>44347</v>
      </c>
      <c r="L69" s="82" t="s">
        <v>2434</v>
      </c>
    </row>
    <row r="70" spans="1:12" ht="17.399999999999999" x14ac:dyDescent="0.4">
      <c r="A70" s="37">
        <f t="shared" ref="A70:A133" si="1">A69+1</f>
        <v>65</v>
      </c>
      <c r="B70" s="38" t="s">
        <v>2192</v>
      </c>
      <c r="C70" s="37"/>
      <c r="D70" s="37" t="s">
        <v>2607</v>
      </c>
      <c r="E70" s="39"/>
      <c r="F70" s="39" t="s">
        <v>2608</v>
      </c>
      <c r="G70" s="39" t="s">
        <v>2609</v>
      </c>
      <c r="H70" s="41">
        <v>58138813600</v>
      </c>
      <c r="I70" s="42">
        <v>30.7</v>
      </c>
      <c r="J70" s="43">
        <v>44105</v>
      </c>
      <c r="K70" s="43">
        <v>44347</v>
      </c>
      <c r="L70" s="118" t="s">
        <v>2610</v>
      </c>
    </row>
    <row r="71" spans="1:12" ht="17.399999999999999" x14ac:dyDescent="0.4">
      <c r="A71" s="37">
        <f t="shared" si="1"/>
        <v>66</v>
      </c>
      <c r="B71" s="38" t="s">
        <v>2900</v>
      </c>
      <c r="C71" s="37"/>
      <c r="D71" s="37" t="s">
        <v>2901</v>
      </c>
      <c r="E71" s="39"/>
      <c r="F71" s="39" t="s">
        <v>2902</v>
      </c>
      <c r="G71" s="39" t="s">
        <v>2903</v>
      </c>
      <c r="H71" s="41">
        <v>55200000000</v>
      </c>
      <c r="I71" s="42">
        <v>8.85</v>
      </c>
      <c r="J71" s="43">
        <v>43770</v>
      </c>
      <c r="K71" s="43">
        <v>44347</v>
      </c>
      <c r="L71" s="82" t="s">
        <v>2904</v>
      </c>
    </row>
    <row r="72" spans="1:12" ht="17.399999999999999" x14ac:dyDescent="0.4">
      <c r="A72" s="37">
        <f t="shared" si="1"/>
        <v>67</v>
      </c>
      <c r="B72" s="38" t="s">
        <v>1032</v>
      </c>
      <c r="C72" s="37" t="s">
        <v>2164</v>
      </c>
      <c r="D72" s="37" t="s">
        <v>1935</v>
      </c>
      <c r="E72" s="39" t="s">
        <v>2345</v>
      </c>
      <c r="F72" s="39" t="s">
        <v>491</v>
      </c>
      <c r="G72" s="39" t="s">
        <v>2346</v>
      </c>
      <c r="H72" s="41">
        <v>4771786674</v>
      </c>
      <c r="I72" s="42">
        <v>4.79</v>
      </c>
      <c r="J72" s="43">
        <v>44242</v>
      </c>
      <c r="K72" s="43">
        <v>44364</v>
      </c>
      <c r="L72" s="82" t="s">
        <v>2347</v>
      </c>
    </row>
    <row r="73" spans="1:12" ht="17.399999999999999" x14ac:dyDescent="0.4">
      <c r="A73" s="37">
        <f t="shared" si="1"/>
        <v>68</v>
      </c>
      <c r="B73" s="38" t="s">
        <v>1702</v>
      </c>
      <c r="C73" s="72" t="s">
        <v>2314</v>
      </c>
      <c r="D73" s="37" t="s">
        <v>2090</v>
      </c>
      <c r="E73" s="39" t="s">
        <v>1360</v>
      </c>
      <c r="F73" s="38" t="s">
        <v>1679</v>
      </c>
      <c r="G73" s="81" t="s">
        <v>2315</v>
      </c>
      <c r="H73" s="41">
        <v>12291086974</v>
      </c>
      <c r="I73" s="42">
        <v>13.38</v>
      </c>
      <c r="J73" s="43">
        <v>44166</v>
      </c>
      <c r="K73" s="43">
        <v>44377</v>
      </c>
      <c r="L73" s="82" t="s">
        <v>2316</v>
      </c>
    </row>
    <row r="74" spans="1:12" ht="17.399999999999999" x14ac:dyDescent="0.4">
      <c r="A74" s="37">
        <f t="shared" si="1"/>
        <v>69</v>
      </c>
      <c r="B74" s="38" t="s">
        <v>1839</v>
      </c>
      <c r="C74" s="37" t="s">
        <v>2317</v>
      </c>
      <c r="D74" s="37" t="s">
        <v>2090</v>
      </c>
      <c r="E74" s="39" t="s">
        <v>1364</v>
      </c>
      <c r="F74" s="39" t="s">
        <v>491</v>
      </c>
      <c r="G74" s="39" t="s">
        <v>2318</v>
      </c>
      <c r="H74" s="41">
        <v>10000000000</v>
      </c>
      <c r="I74" s="42">
        <v>11.3</v>
      </c>
      <c r="J74" s="43">
        <v>43994</v>
      </c>
      <c r="K74" s="43">
        <v>44377</v>
      </c>
      <c r="L74" s="119" t="s">
        <v>2319</v>
      </c>
    </row>
    <row r="75" spans="1:12" ht="17.399999999999999" x14ac:dyDescent="0.4">
      <c r="A75" s="37">
        <f t="shared" si="1"/>
        <v>70</v>
      </c>
      <c r="B75" s="38" t="s">
        <v>2357</v>
      </c>
      <c r="C75" s="37" t="s">
        <v>2358</v>
      </c>
      <c r="D75" s="37" t="s">
        <v>2359</v>
      </c>
      <c r="E75" s="40" t="s">
        <v>1364</v>
      </c>
      <c r="F75" s="39" t="s">
        <v>2360</v>
      </c>
      <c r="G75" s="39" t="s">
        <v>2361</v>
      </c>
      <c r="H75" s="41">
        <v>6130000000</v>
      </c>
      <c r="I75" s="42">
        <v>41.2</v>
      </c>
      <c r="J75" s="43">
        <v>44232</v>
      </c>
      <c r="K75" s="43">
        <v>44377</v>
      </c>
      <c r="L75" s="118" t="s">
        <v>2362</v>
      </c>
    </row>
    <row r="76" spans="1:12" ht="79.2" x14ac:dyDescent="0.4">
      <c r="A76" s="37">
        <f t="shared" si="1"/>
        <v>71</v>
      </c>
      <c r="B76" s="38" t="s">
        <v>202</v>
      </c>
      <c r="C76" s="37" t="s">
        <v>2424</v>
      </c>
      <c r="D76" s="37" t="s">
        <v>2425</v>
      </c>
      <c r="E76" s="40" t="s">
        <v>2426</v>
      </c>
      <c r="F76" s="39" t="s">
        <v>2427</v>
      </c>
      <c r="G76" s="39" t="s">
        <v>2428</v>
      </c>
      <c r="H76" s="41">
        <v>147500000000</v>
      </c>
      <c r="I76" s="42">
        <v>30.66</v>
      </c>
      <c r="J76" s="43">
        <v>43075</v>
      </c>
      <c r="K76" s="43">
        <v>44377</v>
      </c>
      <c r="L76" s="82" t="s">
        <v>2429</v>
      </c>
    </row>
    <row r="77" spans="1:12" ht="17.399999999999999" x14ac:dyDescent="0.4">
      <c r="A77" s="37">
        <f t="shared" si="1"/>
        <v>72</v>
      </c>
      <c r="B77" s="38" t="s">
        <v>2469</v>
      </c>
      <c r="C77" s="37"/>
      <c r="D77" s="37" t="s">
        <v>2470</v>
      </c>
      <c r="E77" s="39"/>
      <c r="F77" s="39" t="s">
        <v>2471</v>
      </c>
      <c r="G77" s="39" t="s">
        <v>2472</v>
      </c>
      <c r="H77" s="41">
        <v>770000000</v>
      </c>
      <c r="I77" s="42">
        <v>28.5</v>
      </c>
      <c r="J77" s="43">
        <v>44237</v>
      </c>
      <c r="K77" s="43">
        <v>44377</v>
      </c>
      <c r="L77" s="82" t="s">
        <v>2473</v>
      </c>
    </row>
    <row r="78" spans="1:12" ht="17.399999999999999" x14ac:dyDescent="0.4">
      <c r="A78" s="37">
        <f t="shared" si="1"/>
        <v>73</v>
      </c>
      <c r="B78" s="38" t="s">
        <v>686</v>
      </c>
      <c r="C78" s="37" t="s">
        <v>2571</v>
      </c>
      <c r="D78" s="37" t="s">
        <v>2572</v>
      </c>
      <c r="E78" s="39"/>
      <c r="F78" s="39" t="s">
        <v>2573</v>
      </c>
      <c r="G78" s="39" t="s">
        <v>2574</v>
      </c>
      <c r="H78" s="41">
        <v>99100000000</v>
      </c>
      <c r="I78" s="42">
        <v>13.55</v>
      </c>
      <c r="J78" s="43">
        <v>43344</v>
      </c>
      <c r="K78" s="43">
        <v>44377</v>
      </c>
      <c r="L78" s="82" t="s">
        <v>2575</v>
      </c>
    </row>
    <row r="79" spans="1:12" ht="17.399999999999999" x14ac:dyDescent="0.4">
      <c r="A79" s="37">
        <f t="shared" si="1"/>
        <v>74</v>
      </c>
      <c r="B79" s="38" t="s">
        <v>2375</v>
      </c>
      <c r="C79" s="37" t="s">
        <v>2602</v>
      </c>
      <c r="D79" s="37" t="s">
        <v>2603</v>
      </c>
      <c r="E79" s="39" t="s">
        <v>1473</v>
      </c>
      <c r="F79" s="39" t="s">
        <v>2604</v>
      </c>
      <c r="G79" s="39" t="s">
        <v>2605</v>
      </c>
      <c r="H79" s="41">
        <v>80000000000</v>
      </c>
      <c r="I79" s="42">
        <v>44.67</v>
      </c>
      <c r="J79" s="43">
        <v>42979</v>
      </c>
      <c r="K79" s="43">
        <v>44377</v>
      </c>
      <c r="L79" s="82" t="s">
        <v>2606</v>
      </c>
    </row>
    <row r="80" spans="1:12" ht="17.399999999999999" x14ac:dyDescent="0.4">
      <c r="A80" s="37">
        <f t="shared" si="1"/>
        <v>75</v>
      </c>
      <c r="B80" s="38" t="s">
        <v>423</v>
      </c>
      <c r="C80" s="37"/>
      <c r="D80" s="37" t="s">
        <v>2650</v>
      </c>
      <c r="E80" s="39"/>
      <c r="F80" s="39" t="s">
        <v>2043</v>
      </c>
      <c r="G80" s="39" t="s">
        <v>2651</v>
      </c>
      <c r="H80" s="41">
        <v>127400000000</v>
      </c>
      <c r="I80" s="42">
        <v>5.78</v>
      </c>
      <c r="J80" s="43">
        <v>44034</v>
      </c>
      <c r="K80" s="43">
        <v>44377</v>
      </c>
      <c r="L80" s="82" t="s">
        <v>2652</v>
      </c>
    </row>
    <row r="81" spans="1:12" ht="17.399999999999999" x14ac:dyDescent="0.4">
      <c r="A81" s="37">
        <f t="shared" si="1"/>
        <v>76</v>
      </c>
      <c r="B81" s="38" t="s">
        <v>79</v>
      </c>
      <c r="C81" s="37"/>
      <c r="D81" s="37" t="s">
        <v>2662</v>
      </c>
      <c r="E81" s="39"/>
      <c r="F81" s="39" t="s">
        <v>1974</v>
      </c>
      <c r="G81" s="39" t="s">
        <v>2663</v>
      </c>
      <c r="H81" s="41">
        <v>90000000000</v>
      </c>
      <c r="I81" s="42">
        <v>13.83</v>
      </c>
      <c r="J81" s="43">
        <v>44026</v>
      </c>
      <c r="K81" s="43">
        <v>44377</v>
      </c>
      <c r="L81" s="120" t="s">
        <v>2664</v>
      </c>
    </row>
    <row r="82" spans="1:12" ht="17.399999999999999" x14ac:dyDescent="0.4">
      <c r="A82" s="37">
        <f t="shared" si="1"/>
        <v>77</v>
      </c>
      <c r="B82" s="38" t="s">
        <v>2304</v>
      </c>
      <c r="C82" s="37" t="s">
        <v>2305</v>
      </c>
      <c r="D82" s="37" t="s">
        <v>2306</v>
      </c>
      <c r="E82" s="38" t="s">
        <v>2307</v>
      </c>
      <c r="F82" s="39" t="s">
        <v>2308</v>
      </c>
      <c r="G82" s="39" t="s">
        <v>2309</v>
      </c>
      <c r="H82" s="41">
        <v>61000000000</v>
      </c>
      <c r="I82" s="42">
        <v>55.43</v>
      </c>
      <c r="J82" s="43">
        <v>43374</v>
      </c>
      <c r="K82" s="43">
        <v>44385</v>
      </c>
      <c r="L82" s="82" t="s">
        <v>2310</v>
      </c>
    </row>
    <row r="83" spans="1:12" ht="17.399999999999999" x14ac:dyDescent="0.4">
      <c r="A83" s="37">
        <f t="shared" si="1"/>
        <v>78</v>
      </c>
      <c r="B83" s="38" t="s">
        <v>2625</v>
      </c>
      <c r="C83" s="37"/>
      <c r="D83" s="37" t="s">
        <v>2626</v>
      </c>
      <c r="E83" s="39"/>
      <c r="F83" s="39" t="s">
        <v>2627</v>
      </c>
      <c r="G83" s="39" t="s">
        <v>2628</v>
      </c>
      <c r="H83" s="41">
        <v>16406247000</v>
      </c>
      <c r="I83" s="42">
        <v>16.899999999999999</v>
      </c>
      <c r="J83" s="43">
        <v>44067</v>
      </c>
      <c r="K83" s="43">
        <v>44400</v>
      </c>
      <c r="L83" s="82" t="s">
        <v>2629</v>
      </c>
    </row>
    <row r="84" spans="1:12" ht="17.399999999999999" x14ac:dyDescent="0.4">
      <c r="A84" s="37">
        <f t="shared" si="1"/>
        <v>79</v>
      </c>
      <c r="B84" s="38" t="s">
        <v>1777</v>
      </c>
      <c r="C84" s="37"/>
      <c r="D84" s="37" t="s">
        <v>2453</v>
      </c>
      <c r="E84" s="39"/>
      <c r="F84" s="39" t="s">
        <v>491</v>
      </c>
      <c r="G84" s="39" t="s">
        <v>2454</v>
      </c>
      <c r="H84" s="41">
        <v>1335760000</v>
      </c>
      <c r="I84" s="42">
        <v>5.32</v>
      </c>
      <c r="J84" s="43">
        <v>44253</v>
      </c>
      <c r="K84" s="43">
        <v>44407</v>
      </c>
      <c r="L84" s="82" t="s">
        <v>2455</v>
      </c>
    </row>
    <row r="85" spans="1:12" ht="17.399999999999999" x14ac:dyDescent="0.4">
      <c r="A85" s="37">
        <f t="shared" si="1"/>
        <v>80</v>
      </c>
      <c r="B85" s="38" t="s">
        <v>2448</v>
      </c>
      <c r="C85" s="37" t="s">
        <v>2449</v>
      </c>
      <c r="D85" s="37" t="s">
        <v>2450</v>
      </c>
      <c r="E85" s="39" t="s">
        <v>1364</v>
      </c>
      <c r="F85" s="39" t="s">
        <v>491</v>
      </c>
      <c r="G85" s="39" t="s">
        <v>2451</v>
      </c>
      <c r="H85" s="41">
        <v>282930000000</v>
      </c>
      <c r="I85" s="42">
        <v>6.7</v>
      </c>
      <c r="J85" s="43">
        <v>43221</v>
      </c>
      <c r="K85" s="43">
        <v>44408</v>
      </c>
      <c r="L85" s="82" t="s">
        <v>2452</v>
      </c>
    </row>
    <row r="86" spans="1:12" ht="17.399999999999999" x14ac:dyDescent="0.4">
      <c r="A86" s="37">
        <f t="shared" si="1"/>
        <v>81</v>
      </c>
      <c r="B86" s="38" t="s">
        <v>723</v>
      </c>
      <c r="C86" s="37"/>
      <c r="D86" s="37" t="s">
        <v>2211</v>
      </c>
      <c r="E86" s="39"/>
      <c r="F86" s="39" t="s">
        <v>2283</v>
      </c>
      <c r="G86" s="39" t="s">
        <v>2284</v>
      </c>
      <c r="H86" s="41">
        <v>113692600000</v>
      </c>
      <c r="I86" s="42">
        <v>7.14</v>
      </c>
      <c r="J86" s="43">
        <v>44236</v>
      </c>
      <c r="K86" s="43">
        <v>44408</v>
      </c>
      <c r="L86" s="82" t="s">
        <v>2474</v>
      </c>
    </row>
    <row r="87" spans="1:12" ht="17.399999999999999" x14ac:dyDescent="0.4">
      <c r="A87" s="37">
        <f t="shared" si="1"/>
        <v>82</v>
      </c>
      <c r="B87" s="38" t="s">
        <v>2752</v>
      </c>
      <c r="C87" s="37"/>
      <c r="D87" s="37" t="s">
        <v>2753</v>
      </c>
      <c r="E87" s="39"/>
      <c r="F87" s="39" t="s">
        <v>2754</v>
      </c>
      <c r="G87" s="39" t="s">
        <v>2755</v>
      </c>
      <c r="H87" s="41">
        <v>32300000000</v>
      </c>
      <c r="I87" s="42">
        <v>5.36</v>
      </c>
      <c r="J87" s="43">
        <v>43891</v>
      </c>
      <c r="K87" s="43">
        <v>44408</v>
      </c>
      <c r="L87" s="82" t="s">
        <v>2756</v>
      </c>
    </row>
    <row r="88" spans="1:12" ht="17.399999999999999" x14ac:dyDescent="0.4">
      <c r="A88" s="37">
        <f t="shared" si="1"/>
        <v>83</v>
      </c>
      <c r="B88" s="38" t="s">
        <v>2240</v>
      </c>
      <c r="C88" s="37" t="s">
        <v>2241</v>
      </c>
      <c r="D88" s="37" t="s">
        <v>1999</v>
      </c>
      <c r="E88" s="39" t="s">
        <v>2242</v>
      </c>
      <c r="F88" s="39" t="s">
        <v>2243</v>
      </c>
      <c r="G88" s="39" t="s">
        <v>2244</v>
      </c>
      <c r="H88" s="41">
        <v>20457579738</v>
      </c>
      <c r="I88" s="42">
        <v>73.73</v>
      </c>
      <c r="J88" s="43">
        <v>44075</v>
      </c>
      <c r="K88" s="43">
        <v>44439</v>
      </c>
      <c r="L88" s="70" t="s">
        <v>2245</v>
      </c>
    </row>
    <row r="89" spans="1:12" ht="17.399999999999999" x14ac:dyDescent="0.4">
      <c r="A89" s="37">
        <f t="shared" si="1"/>
        <v>84</v>
      </c>
      <c r="B89" s="38" t="s">
        <v>1677</v>
      </c>
      <c r="C89" s="37" t="s">
        <v>2246</v>
      </c>
      <c r="D89" s="37" t="s">
        <v>1999</v>
      </c>
      <c r="E89" s="39" t="s">
        <v>2247</v>
      </c>
      <c r="F89" s="39" t="s">
        <v>1679</v>
      </c>
      <c r="G89" s="39" t="s">
        <v>2248</v>
      </c>
      <c r="H89" s="41">
        <v>4700000000</v>
      </c>
      <c r="I89" s="42">
        <v>16.37</v>
      </c>
      <c r="J89" s="43">
        <v>44223</v>
      </c>
      <c r="K89" s="43">
        <v>44439</v>
      </c>
      <c r="L89" s="70" t="s">
        <v>2249</v>
      </c>
    </row>
    <row r="90" spans="1:12" ht="17.399999999999999" x14ac:dyDescent="0.4">
      <c r="A90" s="37">
        <f t="shared" si="1"/>
        <v>85</v>
      </c>
      <c r="B90" s="38" t="s">
        <v>2348</v>
      </c>
      <c r="C90" s="37" t="s">
        <v>2349</v>
      </c>
      <c r="D90" s="37" t="s">
        <v>2350</v>
      </c>
      <c r="E90" s="39" t="s">
        <v>1783</v>
      </c>
      <c r="F90" s="39" t="s">
        <v>2351</v>
      </c>
      <c r="G90" s="39" t="s">
        <v>2352</v>
      </c>
      <c r="H90" s="41">
        <v>3300000000</v>
      </c>
      <c r="I90" s="42">
        <v>7.6</v>
      </c>
      <c r="J90" s="43">
        <v>44167</v>
      </c>
      <c r="K90" s="43">
        <v>44439</v>
      </c>
      <c r="L90" s="82" t="s">
        <v>2353</v>
      </c>
    </row>
    <row r="91" spans="1:12" ht="17.399999999999999" x14ac:dyDescent="0.4">
      <c r="A91" s="37">
        <f t="shared" si="1"/>
        <v>86</v>
      </c>
      <c r="B91" s="38" t="s">
        <v>2508</v>
      </c>
      <c r="C91" s="37" t="s">
        <v>2509</v>
      </c>
      <c r="D91" s="37" t="s">
        <v>2504</v>
      </c>
      <c r="E91" s="39" t="s">
        <v>1473</v>
      </c>
      <c r="F91" s="39" t="s">
        <v>696</v>
      </c>
      <c r="G91" s="39" t="s">
        <v>2510</v>
      </c>
      <c r="H91" s="41">
        <v>20000000000</v>
      </c>
      <c r="I91" s="42">
        <v>22.73</v>
      </c>
      <c r="J91" s="43">
        <v>43885</v>
      </c>
      <c r="K91" s="43">
        <v>44439</v>
      </c>
      <c r="L91" s="82" t="s">
        <v>2511</v>
      </c>
    </row>
    <row r="92" spans="1:12" ht="17.399999999999999" x14ac:dyDescent="0.4">
      <c r="A92" s="37">
        <f t="shared" si="1"/>
        <v>87</v>
      </c>
      <c r="B92" s="38" t="s">
        <v>1765</v>
      </c>
      <c r="C92" s="37"/>
      <c r="D92" s="37" t="s">
        <v>2567</v>
      </c>
      <c r="E92" s="39"/>
      <c r="F92" s="39" t="s">
        <v>2568</v>
      </c>
      <c r="G92" s="39" t="s">
        <v>2569</v>
      </c>
      <c r="H92" s="41">
        <v>8250000000</v>
      </c>
      <c r="I92" s="42">
        <v>8.19</v>
      </c>
      <c r="J92" s="43">
        <v>44124</v>
      </c>
      <c r="K92" s="43">
        <v>44439</v>
      </c>
      <c r="L92" s="82" t="s">
        <v>2570</v>
      </c>
    </row>
    <row r="93" spans="1:12" ht="17.399999999999999" x14ac:dyDescent="0.4">
      <c r="A93" s="37">
        <f t="shared" si="1"/>
        <v>88</v>
      </c>
      <c r="B93" s="38" t="s">
        <v>2385</v>
      </c>
      <c r="C93" s="37"/>
      <c r="D93" s="37" t="s">
        <v>2763</v>
      </c>
      <c r="E93" s="39"/>
      <c r="F93" s="39" t="s">
        <v>2764</v>
      </c>
      <c r="G93" s="39" t="s">
        <v>2388</v>
      </c>
      <c r="H93" s="41">
        <v>90972000000</v>
      </c>
      <c r="I93" s="42">
        <v>36.479999999999997</v>
      </c>
      <c r="J93" s="43">
        <v>43885</v>
      </c>
      <c r="K93" s="43">
        <v>44439</v>
      </c>
      <c r="L93" s="74" t="s">
        <v>2765</v>
      </c>
    </row>
    <row r="94" spans="1:12" ht="17.399999999999999" x14ac:dyDescent="0.4">
      <c r="A94" s="37">
        <f t="shared" si="1"/>
        <v>89</v>
      </c>
      <c r="B94" s="38" t="s">
        <v>1255</v>
      </c>
      <c r="C94" s="37" t="s">
        <v>2250</v>
      </c>
      <c r="D94" s="37" t="s">
        <v>1999</v>
      </c>
      <c r="E94" s="39" t="s">
        <v>2251</v>
      </c>
      <c r="F94" s="39" t="s">
        <v>2252</v>
      </c>
      <c r="G94" s="39" t="s">
        <v>2253</v>
      </c>
      <c r="H94" s="41">
        <v>7700000000</v>
      </c>
      <c r="I94" s="42">
        <v>27.58</v>
      </c>
      <c r="J94" s="43">
        <v>44242</v>
      </c>
      <c r="K94" s="44">
        <v>44459</v>
      </c>
      <c r="L94" s="73" t="s">
        <v>2254</v>
      </c>
    </row>
    <row r="95" spans="1:12" ht="17.399999999999999" x14ac:dyDescent="0.4">
      <c r="A95" s="37">
        <f t="shared" si="1"/>
        <v>90</v>
      </c>
      <c r="B95" s="38" t="s">
        <v>723</v>
      </c>
      <c r="C95" s="37" t="s">
        <v>2211</v>
      </c>
      <c r="D95" s="37" t="s">
        <v>2282</v>
      </c>
      <c r="E95" s="38"/>
      <c r="F95" s="39" t="s">
        <v>2283</v>
      </c>
      <c r="G95" s="39" t="s">
        <v>2284</v>
      </c>
      <c r="H95" s="41">
        <v>113692600000</v>
      </c>
      <c r="I95" s="42">
        <v>7.14</v>
      </c>
      <c r="J95" s="43">
        <v>44236</v>
      </c>
      <c r="K95" s="43">
        <v>44469</v>
      </c>
      <c r="L95" s="57" t="s">
        <v>2285</v>
      </c>
    </row>
    <row r="96" spans="1:12" ht="17.399999999999999" x14ac:dyDescent="0.4">
      <c r="A96" s="37">
        <f t="shared" si="1"/>
        <v>91</v>
      </c>
      <c r="B96" s="38" t="s">
        <v>1998</v>
      </c>
      <c r="C96" s="37"/>
      <c r="D96" s="37" t="s">
        <v>2325</v>
      </c>
      <c r="E96" s="39" t="s">
        <v>2326</v>
      </c>
      <c r="F96" s="39" t="s">
        <v>2327</v>
      </c>
      <c r="G96" s="39" t="s">
        <v>2328</v>
      </c>
      <c r="H96" s="41">
        <v>4633397212</v>
      </c>
      <c r="I96" s="42">
        <v>8.14</v>
      </c>
      <c r="J96" s="43">
        <v>44253</v>
      </c>
      <c r="K96" s="43">
        <v>44469</v>
      </c>
      <c r="L96" s="74" t="s">
        <v>2329</v>
      </c>
    </row>
    <row r="97" spans="1:12" ht="17.399999999999999" x14ac:dyDescent="0.4">
      <c r="A97" s="37">
        <f t="shared" si="1"/>
        <v>92</v>
      </c>
      <c r="B97" s="38" t="s">
        <v>185</v>
      </c>
      <c r="C97" s="37" t="s">
        <v>2395</v>
      </c>
      <c r="D97" s="37" t="s">
        <v>2255</v>
      </c>
      <c r="E97" s="39" t="s">
        <v>1360</v>
      </c>
      <c r="F97" s="39" t="s">
        <v>673</v>
      </c>
      <c r="G97" s="39" t="s">
        <v>2396</v>
      </c>
      <c r="H97" s="41">
        <v>1895000000</v>
      </c>
      <c r="I97" s="42">
        <v>52.19</v>
      </c>
      <c r="J97" s="43">
        <v>44266</v>
      </c>
      <c r="K97" s="43">
        <v>44469</v>
      </c>
      <c r="L97" s="82" t="s">
        <v>2397</v>
      </c>
    </row>
    <row r="98" spans="1:12" ht="17.399999999999999" x14ac:dyDescent="0.4">
      <c r="A98" s="37">
        <f t="shared" si="1"/>
        <v>93</v>
      </c>
      <c r="B98" s="38" t="s">
        <v>1702</v>
      </c>
      <c r="C98" s="37"/>
      <c r="D98" s="37" t="s">
        <v>2453</v>
      </c>
      <c r="E98" s="39"/>
      <c r="F98" s="39" t="s">
        <v>1679</v>
      </c>
      <c r="G98" s="39" t="s">
        <v>2456</v>
      </c>
      <c r="H98" s="41">
        <v>19000000000</v>
      </c>
      <c r="I98" s="42">
        <v>14.41</v>
      </c>
      <c r="J98" s="43">
        <v>44256</v>
      </c>
      <c r="K98" s="43">
        <v>44469</v>
      </c>
      <c r="L98" s="74" t="s">
        <v>2457</v>
      </c>
    </row>
    <row r="99" spans="1:12" ht="17.399999999999999" x14ac:dyDescent="0.4">
      <c r="A99" s="37">
        <f t="shared" si="1"/>
        <v>94</v>
      </c>
      <c r="B99" s="38" t="s">
        <v>81</v>
      </c>
      <c r="C99" s="37"/>
      <c r="D99" s="37" t="s">
        <v>2458</v>
      </c>
      <c r="E99" s="39"/>
      <c r="F99" s="39" t="s">
        <v>673</v>
      </c>
      <c r="G99" s="39" t="s">
        <v>2459</v>
      </c>
      <c r="H99" s="41">
        <v>40000000000</v>
      </c>
      <c r="I99" s="42">
        <v>14</v>
      </c>
      <c r="J99" s="43">
        <v>44250</v>
      </c>
      <c r="K99" s="43">
        <v>44469</v>
      </c>
      <c r="L99" s="77" t="s">
        <v>2460</v>
      </c>
    </row>
    <row r="100" spans="1:12" ht="17.399999999999999" x14ac:dyDescent="0.4">
      <c r="A100" s="37">
        <f t="shared" si="1"/>
        <v>95</v>
      </c>
      <c r="B100" s="38" t="s">
        <v>1389</v>
      </c>
      <c r="C100" s="37"/>
      <c r="D100" s="37" t="s">
        <v>2504</v>
      </c>
      <c r="E100" s="39"/>
      <c r="F100" s="39" t="s">
        <v>2512</v>
      </c>
      <c r="G100" s="39" t="s">
        <v>2513</v>
      </c>
      <c r="H100" s="41">
        <v>25000000000</v>
      </c>
      <c r="I100" s="42">
        <v>17</v>
      </c>
      <c r="J100" s="43">
        <v>44193</v>
      </c>
      <c r="K100" s="43">
        <v>44469</v>
      </c>
      <c r="L100" s="74" t="s">
        <v>2514</v>
      </c>
    </row>
    <row r="101" spans="1:12" ht="17.399999999999999" x14ac:dyDescent="0.4">
      <c r="A101" s="37">
        <f t="shared" si="1"/>
        <v>96</v>
      </c>
      <c r="B101" s="38" t="s">
        <v>2274</v>
      </c>
      <c r="C101" s="37" t="s">
        <v>2275</v>
      </c>
      <c r="D101" s="37" t="s">
        <v>1622</v>
      </c>
      <c r="E101" s="39" t="s">
        <v>2276</v>
      </c>
      <c r="F101" s="39" t="s">
        <v>937</v>
      </c>
      <c r="G101" s="40" t="s">
        <v>2277</v>
      </c>
      <c r="H101" s="45">
        <v>14553800000</v>
      </c>
      <c r="I101" s="42">
        <v>13.6</v>
      </c>
      <c r="J101" s="43">
        <v>44179</v>
      </c>
      <c r="K101" s="43">
        <v>44484</v>
      </c>
      <c r="L101" s="70" t="s">
        <v>2278</v>
      </c>
    </row>
    <row r="102" spans="1:12" ht="17.399999999999999" x14ac:dyDescent="0.4">
      <c r="A102" s="37">
        <f t="shared" si="1"/>
        <v>97</v>
      </c>
      <c r="B102" s="38" t="s">
        <v>2210</v>
      </c>
      <c r="C102" s="37" t="s">
        <v>2211</v>
      </c>
      <c r="D102" s="37" t="s">
        <v>2212</v>
      </c>
      <c r="E102" s="40" t="s">
        <v>2213</v>
      </c>
      <c r="F102" s="39" t="s">
        <v>673</v>
      </c>
      <c r="G102" s="39" t="s">
        <v>2214</v>
      </c>
      <c r="H102" s="41">
        <v>8164000000</v>
      </c>
      <c r="I102" s="42">
        <v>24.74</v>
      </c>
      <c r="J102" s="43">
        <v>44200</v>
      </c>
      <c r="K102" s="43">
        <v>44489</v>
      </c>
      <c r="L102" s="57" t="s">
        <v>2215</v>
      </c>
    </row>
    <row r="103" spans="1:12" ht="17.399999999999999" x14ac:dyDescent="0.4">
      <c r="A103" s="37">
        <f t="shared" si="1"/>
        <v>98</v>
      </c>
      <c r="B103" s="38" t="s">
        <v>1807</v>
      </c>
      <c r="C103" s="37" t="s">
        <v>2255</v>
      </c>
      <c r="D103" s="37" t="s">
        <v>2256</v>
      </c>
      <c r="E103" s="39"/>
      <c r="F103" s="39" t="s">
        <v>491</v>
      </c>
      <c r="G103" s="39" t="s">
        <v>2257</v>
      </c>
      <c r="H103" s="41">
        <v>41563514011</v>
      </c>
      <c r="I103" s="42">
        <v>20.04</v>
      </c>
      <c r="J103" s="43">
        <v>44323</v>
      </c>
      <c r="K103" s="43">
        <v>44500</v>
      </c>
      <c r="L103" s="73" t="s">
        <v>2258</v>
      </c>
    </row>
    <row r="104" spans="1:12" ht="17.399999999999999" x14ac:dyDescent="0.4">
      <c r="A104" s="37">
        <f t="shared" si="1"/>
        <v>99</v>
      </c>
      <c r="B104" s="38" t="s">
        <v>2357</v>
      </c>
      <c r="C104" s="37"/>
      <c r="D104" s="37" t="s">
        <v>2465</v>
      </c>
      <c r="E104" s="39"/>
      <c r="F104" s="39" t="s">
        <v>2466</v>
      </c>
      <c r="G104" s="39" t="s">
        <v>2467</v>
      </c>
      <c r="H104" s="41">
        <v>10530000000</v>
      </c>
      <c r="I104" s="42">
        <v>70.7</v>
      </c>
      <c r="J104" s="43">
        <v>44242</v>
      </c>
      <c r="K104" s="43">
        <v>44500</v>
      </c>
      <c r="L104" s="77" t="s">
        <v>2468</v>
      </c>
    </row>
    <row r="105" spans="1:12" ht="17.399999999999999" x14ac:dyDescent="0.4">
      <c r="A105" s="37">
        <f t="shared" si="1"/>
        <v>100</v>
      </c>
      <c r="B105" s="38" t="s">
        <v>2330</v>
      </c>
      <c r="C105" s="37" t="s">
        <v>2331</v>
      </c>
      <c r="D105" s="37" t="s">
        <v>1226</v>
      </c>
      <c r="E105" s="39" t="s">
        <v>2332</v>
      </c>
      <c r="F105" s="39" t="s">
        <v>2333</v>
      </c>
      <c r="G105" s="40" t="s">
        <v>2334</v>
      </c>
      <c r="H105" s="41">
        <v>7890000000</v>
      </c>
      <c r="I105" s="42">
        <v>18.440000000000001</v>
      </c>
      <c r="J105" s="43">
        <v>43888</v>
      </c>
      <c r="K105" s="43">
        <v>44525</v>
      </c>
      <c r="L105" s="70" t="s">
        <v>2335</v>
      </c>
    </row>
    <row r="106" spans="1:12" ht="26.4" x14ac:dyDescent="0.4">
      <c r="A106" s="37">
        <f t="shared" si="1"/>
        <v>101</v>
      </c>
      <c r="B106" s="38" t="s">
        <v>1354</v>
      </c>
      <c r="C106" s="37" t="s">
        <v>2156</v>
      </c>
      <c r="D106" s="37" t="s">
        <v>2157</v>
      </c>
      <c r="E106" s="39" t="s">
        <v>1639</v>
      </c>
      <c r="F106" s="39" t="s">
        <v>2158</v>
      </c>
      <c r="G106" s="40" t="s">
        <v>1357</v>
      </c>
      <c r="H106" s="41">
        <v>16000000000</v>
      </c>
      <c r="I106" s="42">
        <v>60.68</v>
      </c>
      <c r="J106" s="43">
        <v>44090</v>
      </c>
      <c r="K106" s="44">
        <v>44530</v>
      </c>
      <c r="L106" s="73" t="s">
        <v>2159</v>
      </c>
    </row>
    <row r="107" spans="1:12" ht="17.399999999999999" x14ac:dyDescent="0.4">
      <c r="A107" s="37">
        <f t="shared" si="1"/>
        <v>102</v>
      </c>
      <c r="B107" s="38" t="s">
        <v>2183</v>
      </c>
      <c r="C107" s="37" t="s">
        <v>2184</v>
      </c>
      <c r="D107" s="37" t="s">
        <v>2185</v>
      </c>
      <c r="E107" s="39" t="s">
        <v>2186</v>
      </c>
      <c r="F107" s="39" t="s">
        <v>491</v>
      </c>
      <c r="G107" s="39" t="s">
        <v>2187</v>
      </c>
      <c r="H107" s="41">
        <v>7750000000</v>
      </c>
      <c r="I107" s="42">
        <v>32.020000000000003</v>
      </c>
      <c r="J107" s="43">
        <v>44228</v>
      </c>
      <c r="K107" s="43">
        <v>44530</v>
      </c>
      <c r="L107" s="70" t="s">
        <v>2188</v>
      </c>
    </row>
    <row r="108" spans="1:12" ht="17.399999999999999" x14ac:dyDescent="0.4">
      <c r="A108" s="37">
        <f t="shared" si="1"/>
        <v>103</v>
      </c>
      <c r="B108" s="38" t="s">
        <v>2160</v>
      </c>
      <c r="C108" s="37" t="s">
        <v>2090</v>
      </c>
      <c r="D108" s="37" t="s">
        <v>2157</v>
      </c>
      <c r="E108" s="39" t="s">
        <v>1544</v>
      </c>
      <c r="F108" s="39" t="s">
        <v>2161</v>
      </c>
      <c r="G108" s="39" t="s">
        <v>2162</v>
      </c>
      <c r="H108" s="41">
        <v>15100000000</v>
      </c>
      <c r="I108" s="42">
        <v>9.4</v>
      </c>
      <c r="J108" s="43">
        <v>44022</v>
      </c>
      <c r="K108" s="44">
        <v>44545</v>
      </c>
      <c r="L108" s="57" t="s">
        <v>2163</v>
      </c>
    </row>
    <row r="109" spans="1:12" ht="17.399999999999999" x14ac:dyDescent="0.4">
      <c r="A109" s="37">
        <f t="shared" si="1"/>
        <v>104</v>
      </c>
      <c r="B109" s="38" t="s">
        <v>2118</v>
      </c>
      <c r="C109" s="37">
        <v>2020.0518</v>
      </c>
      <c r="D109" s="37" t="s">
        <v>2119</v>
      </c>
      <c r="E109" s="39" t="s">
        <v>2120</v>
      </c>
      <c r="F109" s="39" t="s">
        <v>2121</v>
      </c>
      <c r="G109" s="39" t="s">
        <v>2122</v>
      </c>
      <c r="H109" s="41">
        <v>12191080000</v>
      </c>
      <c r="I109" s="42">
        <v>33.5</v>
      </c>
      <c r="J109" s="43">
        <v>43124</v>
      </c>
      <c r="K109" s="43">
        <v>44546</v>
      </c>
      <c r="L109" s="57" t="s">
        <v>2123</v>
      </c>
    </row>
    <row r="110" spans="1:12" ht="39.6" x14ac:dyDescent="0.4">
      <c r="A110" s="37">
        <f t="shared" si="1"/>
        <v>105</v>
      </c>
      <c r="B110" s="38" t="s">
        <v>2089</v>
      </c>
      <c r="C110" s="37" t="s">
        <v>2090</v>
      </c>
      <c r="D110" s="37" t="s">
        <v>2091</v>
      </c>
      <c r="E110" s="39" t="s">
        <v>2092</v>
      </c>
      <c r="F110" s="38" t="s">
        <v>2093</v>
      </c>
      <c r="G110" s="81" t="s">
        <v>2094</v>
      </c>
      <c r="H110" s="41">
        <v>30000000000</v>
      </c>
      <c r="I110" s="42">
        <v>56.9</v>
      </c>
      <c r="J110" s="43">
        <v>43531</v>
      </c>
      <c r="K110" s="43">
        <v>44561</v>
      </c>
      <c r="L110" s="57" t="s">
        <v>2095</v>
      </c>
    </row>
    <row r="111" spans="1:12" ht="17.399999999999999" x14ac:dyDescent="0.4">
      <c r="A111" s="37">
        <f t="shared" si="1"/>
        <v>106</v>
      </c>
      <c r="B111" s="38" t="s">
        <v>1702</v>
      </c>
      <c r="C111" s="37" t="s">
        <v>2096</v>
      </c>
      <c r="D111" s="37" t="s">
        <v>2091</v>
      </c>
      <c r="E111" s="39" t="s">
        <v>2097</v>
      </c>
      <c r="F111" s="39" t="s">
        <v>1679</v>
      </c>
      <c r="G111" s="39" t="s">
        <v>2098</v>
      </c>
      <c r="H111" s="41">
        <v>13364404253</v>
      </c>
      <c r="I111" s="42">
        <v>8.74</v>
      </c>
      <c r="J111" s="43">
        <v>44317</v>
      </c>
      <c r="K111" s="43">
        <v>44561</v>
      </c>
      <c r="L111" s="57" t="s">
        <v>2099</v>
      </c>
    </row>
    <row r="112" spans="1:12" ht="17.399999999999999" x14ac:dyDescent="0.4">
      <c r="A112" s="37">
        <f t="shared" si="1"/>
        <v>107</v>
      </c>
      <c r="B112" s="38" t="s">
        <v>423</v>
      </c>
      <c r="C112" s="37" t="s">
        <v>2164</v>
      </c>
      <c r="D112" s="37" t="s">
        <v>2165</v>
      </c>
      <c r="E112" s="39" t="s">
        <v>2166</v>
      </c>
      <c r="F112" s="39" t="s">
        <v>1649</v>
      </c>
      <c r="G112" s="39" t="s">
        <v>2167</v>
      </c>
      <c r="H112" s="41">
        <v>835500000000</v>
      </c>
      <c r="I112" s="42">
        <v>34.4</v>
      </c>
      <c r="J112" s="43">
        <v>44244</v>
      </c>
      <c r="K112" s="43">
        <v>44561</v>
      </c>
      <c r="L112" s="74" t="s">
        <v>2168</v>
      </c>
    </row>
    <row r="113" spans="1:12" ht="17.399999999999999" x14ac:dyDescent="0.4">
      <c r="A113" s="37">
        <f t="shared" si="1"/>
        <v>108</v>
      </c>
      <c r="B113" s="38" t="s">
        <v>2172</v>
      </c>
      <c r="C113" s="37"/>
      <c r="D113" s="37" t="s">
        <v>2228</v>
      </c>
      <c r="E113" s="39"/>
      <c r="F113" s="39" t="s">
        <v>491</v>
      </c>
      <c r="G113" s="39" t="s">
        <v>2229</v>
      </c>
      <c r="H113" s="41">
        <v>15000000000</v>
      </c>
      <c r="I113" s="42">
        <v>29.6</v>
      </c>
      <c r="J113" s="43">
        <v>44362</v>
      </c>
      <c r="K113" s="43">
        <v>44561</v>
      </c>
      <c r="L113" s="57" t="s">
        <v>2230</v>
      </c>
    </row>
    <row r="114" spans="1:12" ht="17.399999999999999" x14ac:dyDescent="0.4">
      <c r="A114" s="37">
        <f t="shared" si="1"/>
        <v>109</v>
      </c>
      <c r="B114" s="38" t="s">
        <v>81</v>
      </c>
      <c r="C114" s="37"/>
      <c r="D114" s="37" t="s">
        <v>2279</v>
      </c>
      <c r="E114" s="38"/>
      <c r="F114" s="39" t="s">
        <v>491</v>
      </c>
      <c r="G114" s="39" t="s">
        <v>2280</v>
      </c>
      <c r="H114" s="41">
        <v>30500000000</v>
      </c>
      <c r="I114" s="42">
        <v>10.7</v>
      </c>
      <c r="J114" s="43">
        <v>44413</v>
      </c>
      <c r="K114" s="43">
        <v>44561</v>
      </c>
      <c r="L114" s="73" t="s">
        <v>2281</v>
      </c>
    </row>
    <row r="115" spans="1:12" ht="26.4" x14ac:dyDescent="0.4">
      <c r="A115" s="37">
        <f t="shared" si="1"/>
        <v>110</v>
      </c>
      <c r="B115" s="38" t="s">
        <v>723</v>
      </c>
      <c r="C115" s="37" t="s">
        <v>2320</v>
      </c>
      <c r="D115" s="37" t="s">
        <v>2090</v>
      </c>
      <c r="E115" s="38" t="s">
        <v>2321</v>
      </c>
      <c r="F115" s="81" t="s">
        <v>2322</v>
      </c>
      <c r="G115" s="38" t="s">
        <v>2323</v>
      </c>
      <c r="H115" s="41">
        <v>229041827920</v>
      </c>
      <c r="I115" s="42">
        <v>14.39</v>
      </c>
      <c r="J115" s="43">
        <v>44146</v>
      </c>
      <c r="K115" s="43">
        <v>44561</v>
      </c>
      <c r="L115" s="74" t="s">
        <v>2324</v>
      </c>
    </row>
    <row r="116" spans="1:12" ht="17.399999999999999" x14ac:dyDescent="0.4">
      <c r="A116" s="37">
        <f t="shared" si="1"/>
        <v>111</v>
      </c>
      <c r="B116" s="38" t="s">
        <v>79</v>
      </c>
      <c r="C116" s="37"/>
      <c r="D116" s="37" t="s">
        <v>2446</v>
      </c>
      <c r="E116" s="39"/>
      <c r="F116" s="39" t="s">
        <v>1974</v>
      </c>
      <c r="G116" s="39" t="s">
        <v>2125</v>
      </c>
      <c r="H116" s="41">
        <v>70000000000</v>
      </c>
      <c r="I116" s="42">
        <v>10.75</v>
      </c>
      <c r="J116" s="43">
        <v>44257</v>
      </c>
      <c r="K116" s="43">
        <v>44561</v>
      </c>
      <c r="L116" s="77" t="s">
        <v>2447</v>
      </c>
    </row>
    <row r="117" spans="1:12" ht="17.399999999999999" x14ac:dyDescent="0.4">
      <c r="A117" s="37">
        <f t="shared" si="1"/>
        <v>112</v>
      </c>
      <c r="B117" s="38" t="s">
        <v>2493</v>
      </c>
      <c r="C117" s="37" t="s">
        <v>2494</v>
      </c>
      <c r="D117" s="37" t="s">
        <v>2489</v>
      </c>
      <c r="E117" s="39" t="s">
        <v>1364</v>
      </c>
      <c r="F117" s="39" t="s">
        <v>491</v>
      </c>
      <c r="G117" s="39" t="s">
        <v>2495</v>
      </c>
      <c r="H117" s="41">
        <v>121956700000</v>
      </c>
      <c r="I117" s="42">
        <v>51.83</v>
      </c>
      <c r="J117" s="43">
        <v>43617</v>
      </c>
      <c r="K117" s="43">
        <v>44561</v>
      </c>
      <c r="L117" s="74" t="s">
        <v>2496</v>
      </c>
    </row>
    <row r="118" spans="1:12" ht="17.399999999999999" x14ac:dyDescent="0.4">
      <c r="A118" s="37">
        <f t="shared" si="1"/>
        <v>113</v>
      </c>
      <c r="B118" s="38" t="s">
        <v>2584</v>
      </c>
      <c r="C118" s="37"/>
      <c r="D118" s="37" t="s">
        <v>2585</v>
      </c>
      <c r="E118" s="39"/>
      <c r="F118" s="39" t="s">
        <v>2101</v>
      </c>
      <c r="G118" s="39" t="s">
        <v>2586</v>
      </c>
      <c r="H118" s="41">
        <v>85000000000</v>
      </c>
      <c r="I118" s="42">
        <v>88.9</v>
      </c>
      <c r="J118" s="43">
        <v>44124</v>
      </c>
      <c r="K118" s="43">
        <v>44561</v>
      </c>
      <c r="L118" s="82" t="s">
        <v>2587</v>
      </c>
    </row>
    <row r="119" spans="1:12" ht="17.399999999999999" x14ac:dyDescent="0.4">
      <c r="A119" s="37">
        <f t="shared" si="1"/>
        <v>114</v>
      </c>
      <c r="B119" s="38" t="s">
        <v>1954</v>
      </c>
      <c r="C119" s="37"/>
      <c r="D119" s="37" t="s">
        <v>2689</v>
      </c>
      <c r="E119" s="39"/>
      <c r="F119" s="39" t="s">
        <v>491</v>
      </c>
      <c r="G119" s="39" t="s">
        <v>2690</v>
      </c>
      <c r="H119" s="41">
        <v>34000000000</v>
      </c>
      <c r="I119" s="42">
        <v>17.5</v>
      </c>
      <c r="J119" s="43">
        <v>43972</v>
      </c>
      <c r="K119" s="43">
        <v>44561</v>
      </c>
      <c r="L119" s="74" t="s">
        <v>2691</v>
      </c>
    </row>
    <row r="120" spans="1:12" ht="17.399999999999999" x14ac:dyDescent="0.4">
      <c r="A120" s="37">
        <f t="shared" si="1"/>
        <v>115</v>
      </c>
      <c r="B120" s="38" t="s">
        <v>2732</v>
      </c>
      <c r="C120" s="37"/>
      <c r="D120" s="37" t="s">
        <v>2733</v>
      </c>
      <c r="E120" s="39"/>
      <c r="F120" s="39" t="s">
        <v>2734</v>
      </c>
      <c r="G120" s="39" t="s">
        <v>2735</v>
      </c>
      <c r="H120" s="41">
        <v>16067000000</v>
      </c>
      <c r="I120" s="42">
        <v>12.68</v>
      </c>
      <c r="J120" s="43">
        <v>43910</v>
      </c>
      <c r="K120" s="43">
        <v>44561</v>
      </c>
      <c r="L120" s="74" t="s">
        <v>2736</v>
      </c>
    </row>
    <row r="121" spans="1:12" ht="17.399999999999999" x14ac:dyDescent="0.4">
      <c r="A121" s="37">
        <f t="shared" si="1"/>
        <v>116</v>
      </c>
      <c r="B121" s="38" t="s">
        <v>2549</v>
      </c>
      <c r="C121" s="37"/>
      <c r="D121" s="37"/>
      <c r="E121" s="39"/>
      <c r="F121" s="39" t="s">
        <v>491</v>
      </c>
      <c r="G121" s="39" t="s">
        <v>2917</v>
      </c>
      <c r="H121" s="41">
        <v>15400000000</v>
      </c>
      <c r="I121" s="42">
        <v>55.2</v>
      </c>
      <c r="J121" s="43">
        <v>44190</v>
      </c>
      <c r="K121" s="43">
        <v>44562</v>
      </c>
      <c r="L121" s="82" t="s">
        <v>2918</v>
      </c>
    </row>
    <row r="122" spans="1:12" ht="17.399999999999999" x14ac:dyDescent="0.4">
      <c r="A122" s="37">
        <f t="shared" si="1"/>
        <v>117</v>
      </c>
      <c r="B122" s="38" t="s">
        <v>1692</v>
      </c>
      <c r="C122" s="37"/>
      <c r="D122" s="37" t="s">
        <v>2542</v>
      </c>
      <c r="E122" s="39"/>
      <c r="F122" s="39" t="s">
        <v>653</v>
      </c>
      <c r="G122" s="39" t="s">
        <v>2543</v>
      </c>
      <c r="H122" s="116">
        <v>38938000000</v>
      </c>
      <c r="I122" s="42">
        <v>19.64</v>
      </c>
      <c r="J122" s="43">
        <v>44159</v>
      </c>
      <c r="K122" s="43">
        <v>44592</v>
      </c>
      <c r="L122" s="82" t="s">
        <v>2544</v>
      </c>
    </row>
    <row r="123" spans="1:12" ht="17.399999999999999" x14ac:dyDescent="0.4">
      <c r="A123" s="37">
        <f t="shared" si="1"/>
        <v>118</v>
      </c>
      <c r="B123" s="38" t="s">
        <v>2533</v>
      </c>
      <c r="C123" s="37" t="s">
        <v>2773</v>
      </c>
      <c r="D123" s="37" t="s">
        <v>2774</v>
      </c>
      <c r="E123" s="39" t="s">
        <v>2775</v>
      </c>
      <c r="F123" s="39" t="s">
        <v>2776</v>
      </c>
      <c r="G123" s="39" t="s">
        <v>2777</v>
      </c>
      <c r="H123" s="116">
        <v>42899313120</v>
      </c>
      <c r="I123" s="42">
        <v>5.3</v>
      </c>
      <c r="J123" s="43">
        <v>43787</v>
      </c>
      <c r="K123" s="43">
        <v>44592</v>
      </c>
      <c r="L123" s="82" t="s">
        <v>2778</v>
      </c>
    </row>
    <row r="124" spans="1:12" ht="17.399999999999999" x14ac:dyDescent="0.4">
      <c r="A124" s="37">
        <f t="shared" si="1"/>
        <v>119</v>
      </c>
      <c r="B124" s="38" t="s">
        <v>2405</v>
      </c>
      <c r="C124" s="37"/>
      <c r="D124" s="37" t="s">
        <v>2406</v>
      </c>
      <c r="E124" s="40" t="s">
        <v>1364</v>
      </c>
      <c r="F124" s="39" t="s">
        <v>1995</v>
      </c>
      <c r="G124" s="39" t="s">
        <v>2407</v>
      </c>
      <c r="H124" s="41">
        <v>56380000000</v>
      </c>
      <c r="I124" s="42">
        <v>89.44</v>
      </c>
      <c r="J124" s="43">
        <v>43556</v>
      </c>
      <c r="K124" s="43">
        <v>44614</v>
      </c>
      <c r="L124" s="74" t="s">
        <v>2408</v>
      </c>
    </row>
    <row r="125" spans="1:12" ht="26.4" x14ac:dyDescent="0.4">
      <c r="A125" s="37">
        <f t="shared" si="1"/>
        <v>120</v>
      </c>
      <c r="B125" s="38" t="s">
        <v>2029</v>
      </c>
      <c r="C125" s="37" t="s">
        <v>2030</v>
      </c>
      <c r="D125" s="37" t="s">
        <v>1798</v>
      </c>
      <c r="E125" s="39" t="s">
        <v>2031</v>
      </c>
      <c r="F125" s="39" t="s">
        <v>2032</v>
      </c>
      <c r="G125" s="40" t="s">
        <v>2033</v>
      </c>
      <c r="H125" s="41">
        <v>49700000000</v>
      </c>
      <c r="I125" s="42">
        <v>82.6</v>
      </c>
      <c r="J125" s="43">
        <v>43867</v>
      </c>
      <c r="K125" s="43">
        <v>44620</v>
      </c>
      <c r="L125" s="57" t="s">
        <v>2034</v>
      </c>
    </row>
    <row r="126" spans="1:12" ht="17.399999999999999" x14ac:dyDescent="0.4">
      <c r="A126" s="37">
        <f t="shared" si="1"/>
        <v>121</v>
      </c>
      <c r="B126" s="38" t="s">
        <v>2643</v>
      </c>
      <c r="C126" s="37"/>
      <c r="D126" s="37" t="s">
        <v>2640</v>
      </c>
      <c r="E126" s="39"/>
      <c r="F126" s="39" t="s">
        <v>2644</v>
      </c>
      <c r="G126" s="39" t="s">
        <v>2645</v>
      </c>
      <c r="H126" s="41">
        <v>81000000000</v>
      </c>
      <c r="I126" s="42">
        <v>12.54</v>
      </c>
      <c r="J126" s="43">
        <v>44105</v>
      </c>
      <c r="K126" s="43">
        <v>44620</v>
      </c>
      <c r="L126" s="74" t="s">
        <v>2646</v>
      </c>
    </row>
    <row r="127" spans="1:12" ht="17.399999999999999" x14ac:dyDescent="0.4">
      <c r="A127" s="37">
        <f t="shared" si="1"/>
        <v>122</v>
      </c>
      <c r="B127" s="38" t="s">
        <v>1739</v>
      </c>
      <c r="C127" s="37" t="s">
        <v>1830</v>
      </c>
      <c r="D127" s="37" t="s">
        <v>1831</v>
      </c>
      <c r="E127" s="39" t="s">
        <v>701</v>
      </c>
      <c r="F127" s="39" t="s">
        <v>491</v>
      </c>
      <c r="G127" s="39" t="s">
        <v>1832</v>
      </c>
      <c r="H127" s="41">
        <v>21340000000</v>
      </c>
      <c r="I127" s="42">
        <v>13.97</v>
      </c>
      <c r="J127" s="43">
        <v>44076</v>
      </c>
      <c r="K127" s="43">
        <v>44638</v>
      </c>
      <c r="L127" s="70" t="s">
        <v>1833</v>
      </c>
    </row>
    <row r="128" spans="1:12" ht="17.399999999999999" x14ac:dyDescent="0.4">
      <c r="A128" s="37">
        <f t="shared" si="1"/>
        <v>123</v>
      </c>
      <c r="B128" s="38" t="s">
        <v>760</v>
      </c>
      <c r="C128" s="37" t="s">
        <v>2054</v>
      </c>
      <c r="D128" s="37" t="s">
        <v>2055</v>
      </c>
      <c r="E128" s="38"/>
      <c r="F128" s="39" t="s">
        <v>764</v>
      </c>
      <c r="G128" s="39" t="s">
        <v>2056</v>
      </c>
      <c r="H128" s="41">
        <v>9700000000</v>
      </c>
      <c r="I128" s="42">
        <v>22.34</v>
      </c>
      <c r="J128" s="43">
        <v>44413</v>
      </c>
      <c r="K128" s="43">
        <v>44651</v>
      </c>
      <c r="L128" s="70" t="s">
        <v>2057</v>
      </c>
    </row>
    <row r="129" spans="1:12" ht="17.399999999999999" x14ac:dyDescent="0.4">
      <c r="A129" s="37">
        <f t="shared" si="1"/>
        <v>124</v>
      </c>
      <c r="B129" s="38" t="s">
        <v>2100</v>
      </c>
      <c r="C129" s="37"/>
      <c r="D129" s="37" t="s">
        <v>2091</v>
      </c>
      <c r="E129" s="40"/>
      <c r="F129" s="39" t="s">
        <v>2101</v>
      </c>
      <c r="G129" s="39" t="s">
        <v>2102</v>
      </c>
      <c r="H129" s="41">
        <v>121751000000</v>
      </c>
      <c r="I129" s="42">
        <v>127.34</v>
      </c>
      <c r="J129" s="43">
        <v>44124</v>
      </c>
      <c r="K129" s="44">
        <v>44651</v>
      </c>
      <c r="L129" s="70" t="s">
        <v>2103</v>
      </c>
    </row>
    <row r="130" spans="1:12" ht="17.399999999999999" x14ac:dyDescent="0.4">
      <c r="A130" s="37">
        <f t="shared" si="1"/>
        <v>125</v>
      </c>
      <c r="B130" s="38" t="s">
        <v>1702</v>
      </c>
      <c r="C130" s="37" t="s">
        <v>2110</v>
      </c>
      <c r="D130" s="37" t="s">
        <v>1722</v>
      </c>
      <c r="E130" s="39" t="s">
        <v>2097</v>
      </c>
      <c r="F130" s="39" t="s">
        <v>1679</v>
      </c>
      <c r="G130" s="39" t="s">
        <v>2111</v>
      </c>
      <c r="H130" s="41">
        <v>28000000000</v>
      </c>
      <c r="I130" s="42">
        <v>16.2</v>
      </c>
      <c r="J130" s="43">
        <v>44326</v>
      </c>
      <c r="K130" s="43">
        <v>44651</v>
      </c>
      <c r="L130" s="57" t="s">
        <v>2112</v>
      </c>
    </row>
    <row r="131" spans="1:12" ht="17.399999999999999" x14ac:dyDescent="0.4">
      <c r="A131" s="37">
        <f t="shared" si="1"/>
        <v>126</v>
      </c>
      <c r="B131" s="38" t="s">
        <v>2339</v>
      </c>
      <c r="C131" s="37" t="s">
        <v>2340</v>
      </c>
      <c r="D131" s="37" t="s">
        <v>2341</v>
      </c>
      <c r="E131" s="56" t="s">
        <v>2342</v>
      </c>
      <c r="F131" s="39" t="s">
        <v>1774</v>
      </c>
      <c r="G131" s="39" t="s">
        <v>2343</v>
      </c>
      <c r="H131" s="41">
        <v>207414000000</v>
      </c>
      <c r="I131" s="42">
        <v>59.73</v>
      </c>
      <c r="J131" s="43">
        <v>43101</v>
      </c>
      <c r="K131" s="43">
        <v>44651</v>
      </c>
      <c r="L131" s="70" t="s">
        <v>2344</v>
      </c>
    </row>
    <row r="132" spans="1:12" ht="17.399999999999999" x14ac:dyDescent="0.4">
      <c r="A132" s="37">
        <f t="shared" si="1"/>
        <v>127</v>
      </c>
      <c r="B132" s="38" t="s">
        <v>2375</v>
      </c>
      <c r="C132" s="37" t="s">
        <v>2376</v>
      </c>
      <c r="D132" s="37" t="s">
        <v>2377</v>
      </c>
      <c r="E132" s="39" t="s">
        <v>2378</v>
      </c>
      <c r="F132" s="39" t="s">
        <v>2379</v>
      </c>
      <c r="G132" s="39" t="s">
        <v>2380</v>
      </c>
      <c r="H132" s="41">
        <v>210000000000</v>
      </c>
      <c r="I132" s="42">
        <v>95.6</v>
      </c>
      <c r="J132" s="43">
        <v>43521</v>
      </c>
      <c r="K132" s="43">
        <v>44651</v>
      </c>
      <c r="L132" s="74" t="s">
        <v>2381</v>
      </c>
    </row>
    <row r="133" spans="1:12" ht="17.399999999999999" x14ac:dyDescent="0.4">
      <c r="A133" s="37">
        <f t="shared" si="1"/>
        <v>128</v>
      </c>
      <c r="B133" s="38" t="s">
        <v>1058</v>
      </c>
      <c r="C133" s="37"/>
      <c r="D133" s="37" t="s">
        <v>2275</v>
      </c>
      <c r="E133" s="39"/>
      <c r="F133" s="39" t="s">
        <v>2530</v>
      </c>
      <c r="G133" s="39" t="s">
        <v>2531</v>
      </c>
      <c r="H133" s="41">
        <v>22134000000</v>
      </c>
      <c r="I133" s="42">
        <v>15.96</v>
      </c>
      <c r="J133" s="43">
        <v>44166</v>
      </c>
      <c r="K133" s="43">
        <v>44651</v>
      </c>
      <c r="L133" s="74" t="s">
        <v>2532</v>
      </c>
    </row>
    <row r="134" spans="1:12" ht="17.399999999999999" x14ac:dyDescent="0.4">
      <c r="A134" s="37">
        <f t="shared" ref="A134:A197" si="2">A133+1</f>
        <v>129</v>
      </c>
      <c r="B134" s="38" t="s">
        <v>2011</v>
      </c>
      <c r="C134" s="37" t="s">
        <v>2012</v>
      </c>
      <c r="D134" s="37" t="s">
        <v>2013</v>
      </c>
      <c r="E134" s="39"/>
      <c r="F134" s="39" t="s">
        <v>2014</v>
      </c>
      <c r="G134" s="39" t="s">
        <v>2015</v>
      </c>
      <c r="H134" s="41">
        <v>119400000000</v>
      </c>
      <c r="I134" s="42">
        <v>13.04</v>
      </c>
      <c r="J134" s="43">
        <v>44075</v>
      </c>
      <c r="K134" s="43">
        <v>44681</v>
      </c>
      <c r="L134" s="57" t="s">
        <v>2016</v>
      </c>
    </row>
    <row r="135" spans="1:12" ht="26.4" x14ac:dyDescent="0.4">
      <c r="A135" s="37">
        <f t="shared" si="2"/>
        <v>130</v>
      </c>
      <c r="B135" s="38" t="s">
        <v>2046</v>
      </c>
      <c r="C135" s="37" t="s">
        <v>2047</v>
      </c>
      <c r="D135" s="37" t="s">
        <v>2048</v>
      </c>
      <c r="E135" s="39"/>
      <c r="F135" s="39" t="s">
        <v>2049</v>
      </c>
      <c r="G135" s="40" t="s">
        <v>2050</v>
      </c>
      <c r="H135" s="41">
        <v>90600000000</v>
      </c>
      <c r="I135" s="42">
        <v>65.66</v>
      </c>
      <c r="J135" s="43">
        <v>44151</v>
      </c>
      <c r="K135" s="43">
        <v>44681</v>
      </c>
      <c r="L135" s="57" t="s">
        <v>2051</v>
      </c>
    </row>
    <row r="136" spans="1:12" ht="26.4" x14ac:dyDescent="0.4">
      <c r="A136" s="37">
        <f t="shared" si="2"/>
        <v>131</v>
      </c>
      <c r="B136" s="38" t="s">
        <v>2068</v>
      </c>
      <c r="C136" s="37" t="s">
        <v>2069</v>
      </c>
      <c r="D136" s="37" t="s">
        <v>2070</v>
      </c>
      <c r="E136" s="39" t="s">
        <v>2071</v>
      </c>
      <c r="F136" s="39" t="s">
        <v>2072</v>
      </c>
      <c r="G136" s="40" t="s">
        <v>2073</v>
      </c>
      <c r="H136" s="41">
        <v>58500000000</v>
      </c>
      <c r="I136" s="42">
        <v>28.48</v>
      </c>
      <c r="J136" s="43">
        <v>44620</v>
      </c>
      <c r="K136" s="43">
        <v>44681</v>
      </c>
      <c r="L136" s="70" t="s">
        <v>2074</v>
      </c>
    </row>
    <row r="137" spans="1:12" ht="17.399999999999999" x14ac:dyDescent="0.4">
      <c r="A137" s="37">
        <f t="shared" si="2"/>
        <v>132</v>
      </c>
      <c r="B137" s="38" t="s">
        <v>2104</v>
      </c>
      <c r="C137" s="37" t="s">
        <v>2105</v>
      </c>
      <c r="D137" s="37" t="s">
        <v>2106</v>
      </c>
      <c r="E137" s="39" t="s">
        <v>2107</v>
      </c>
      <c r="F137" s="39" t="s">
        <v>2107</v>
      </c>
      <c r="G137" s="39" t="s">
        <v>2108</v>
      </c>
      <c r="H137" s="41">
        <v>11500000000</v>
      </c>
      <c r="I137" s="42">
        <v>24.44</v>
      </c>
      <c r="J137" s="43">
        <v>44264</v>
      </c>
      <c r="K137" s="43">
        <v>44681</v>
      </c>
      <c r="L137" s="57" t="s">
        <v>2109</v>
      </c>
    </row>
    <row r="138" spans="1:12" ht="17.399999999999999" x14ac:dyDescent="0.4">
      <c r="A138" s="37">
        <f t="shared" si="2"/>
        <v>133</v>
      </c>
      <c r="B138" s="38" t="s">
        <v>1368</v>
      </c>
      <c r="C138" s="37" t="s">
        <v>1987</v>
      </c>
      <c r="D138" s="37" t="s">
        <v>1894</v>
      </c>
      <c r="E138" s="40" t="s">
        <v>1988</v>
      </c>
      <c r="F138" s="39" t="s">
        <v>1989</v>
      </c>
      <c r="G138" s="39" t="s">
        <v>1990</v>
      </c>
      <c r="H138" s="41">
        <v>4600000000</v>
      </c>
      <c r="I138" s="42">
        <v>16.66</v>
      </c>
      <c r="J138" s="43">
        <v>44369</v>
      </c>
      <c r="K138" s="43">
        <v>44694</v>
      </c>
      <c r="L138" s="74" t="s">
        <v>1991</v>
      </c>
    </row>
    <row r="139" spans="1:12" ht="39.6" x14ac:dyDescent="0.4">
      <c r="A139" s="37">
        <f t="shared" si="2"/>
        <v>134</v>
      </c>
      <c r="B139" s="38" t="s">
        <v>1958</v>
      </c>
      <c r="C139" s="37" t="s">
        <v>1959</v>
      </c>
      <c r="D139" s="37" t="s">
        <v>1960</v>
      </c>
      <c r="E139" s="39" t="s">
        <v>1961</v>
      </c>
      <c r="F139" s="39" t="s">
        <v>1962</v>
      </c>
      <c r="G139" s="40" t="s">
        <v>1963</v>
      </c>
      <c r="H139" s="41">
        <v>4400000000</v>
      </c>
      <c r="I139" s="42">
        <v>15.5</v>
      </c>
      <c r="J139" s="43">
        <v>44529</v>
      </c>
      <c r="K139" s="44">
        <v>44712</v>
      </c>
      <c r="L139" s="70" t="s">
        <v>1964</v>
      </c>
    </row>
    <row r="140" spans="1:12" ht="17.399999999999999" x14ac:dyDescent="0.4">
      <c r="A140" s="37">
        <f t="shared" si="2"/>
        <v>135</v>
      </c>
      <c r="B140" s="38" t="s">
        <v>1992</v>
      </c>
      <c r="C140" s="37" t="s">
        <v>1993</v>
      </c>
      <c r="D140" s="37" t="s">
        <v>1894</v>
      </c>
      <c r="E140" s="39" t="s">
        <v>1994</v>
      </c>
      <c r="F140" s="39" t="s">
        <v>1995</v>
      </c>
      <c r="G140" s="39" t="s">
        <v>1996</v>
      </c>
      <c r="H140" s="41">
        <v>21000000000</v>
      </c>
      <c r="I140" s="42">
        <v>12.16</v>
      </c>
      <c r="J140" s="43">
        <v>44197</v>
      </c>
      <c r="K140" s="43">
        <v>44712</v>
      </c>
      <c r="L140" s="57" t="s">
        <v>1997</v>
      </c>
    </row>
    <row r="141" spans="1:12" ht="17.399999999999999" x14ac:dyDescent="0.4">
      <c r="A141" s="37">
        <f t="shared" si="2"/>
        <v>136</v>
      </c>
      <c r="B141" s="38" t="s">
        <v>1998</v>
      </c>
      <c r="C141" s="37" t="s">
        <v>1999</v>
      </c>
      <c r="D141" s="37" t="s">
        <v>1894</v>
      </c>
      <c r="E141" s="39" t="s">
        <v>1841</v>
      </c>
      <c r="F141" s="39" t="s">
        <v>2000</v>
      </c>
      <c r="G141" s="39" t="s">
        <v>2001</v>
      </c>
      <c r="H141" s="41">
        <v>2500000000</v>
      </c>
      <c r="I141" s="42">
        <v>4.3600000000000003</v>
      </c>
      <c r="J141" s="43">
        <v>44362</v>
      </c>
      <c r="K141" s="43">
        <v>44712</v>
      </c>
      <c r="L141" s="57" t="s">
        <v>2002</v>
      </c>
    </row>
    <row r="142" spans="1:12" ht="17.399999999999999" x14ac:dyDescent="0.4">
      <c r="A142" s="37">
        <f t="shared" si="2"/>
        <v>137</v>
      </c>
      <c r="B142" s="38" t="s">
        <v>1264</v>
      </c>
      <c r="C142" s="37" t="s">
        <v>2003</v>
      </c>
      <c r="D142" s="37" t="s">
        <v>1894</v>
      </c>
      <c r="E142" s="39"/>
      <c r="F142" s="40" t="s">
        <v>491</v>
      </c>
      <c r="G142" s="40" t="s">
        <v>2004</v>
      </c>
      <c r="H142" s="45">
        <v>5100000000</v>
      </c>
      <c r="I142" s="42">
        <v>11.69</v>
      </c>
      <c r="J142" s="43">
        <v>44427</v>
      </c>
      <c r="K142" s="43">
        <v>44712</v>
      </c>
      <c r="L142" s="57" t="s">
        <v>2005</v>
      </c>
    </row>
    <row r="143" spans="1:12" ht="17.399999999999999" x14ac:dyDescent="0.4">
      <c r="A143" s="37">
        <f t="shared" si="2"/>
        <v>138</v>
      </c>
      <c r="B143" s="38" t="s">
        <v>2192</v>
      </c>
      <c r="C143" s="37"/>
      <c r="D143" s="37" t="s">
        <v>2193</v>
      </c>
      <c r="E143" s="40"/>
      <c r="F143" s="40" t="s">
        <v>2194</v>
      </c>
      <c r="G143" s="39" t="s">
        <v>2195</v>
      </c>
      <c r="H143" s="45">
        <v>95500000000</v>
      </c>
      <c r="I143" s="42">
        <v>32</v>
      </c>
      <c r="J143" s="43">
        <v>44470</v>
      </c>
      <c r="K143" s="44">
        <v>44712</v>
      </c>
      <c r="L143" s="57" t="s">
        <v>2196</v>
      </c>
    </row>
    <row r="144" spans="1:12" ht="17.399999999999999" x14ac:dyDescent="0.4">
      <c r="A144" s="37">
        <f t="shared" si="2"/>
        <v>139</v>
      </c>
      <c r="B144" s="38" t="s">
        <v>1557</v>
      </c>
      <c r="C144" s="37"/>
      <c r="D144" s="37" t="s">
        <v>2557</v>
      </c>
      <c r="E144" s="39"/>
      <c r="F144" s="39" t="s">
        <v>1343</v>
      </c>
      <c r="G144" s="39" t="s">
        <v>2127</v>
      </c>
      <c r="H144" s="41">
        <v>275800000000</v>
      </c>
      <c r="I144" s="42">
        <v>27.4</v>
      </c>
      <c r="J144" s="43">
        <v>44141</v>
      </c>
      <c r="K144" s="43">
        <v>44712</v>
      </c>
      <c r="L144" s="74" t="s">
        <v>2558</v>
      </c>
    </row>
    <row r="145" spans="1:12" ht="17.399999999999999" x14ac:dyDescent="0.4">
      <c r="A145" s="37">
        <f t="shared" si="2"/>
        <v>140</v>
      </c>
      <c r="B145" s="38" t="s">
        <v>1447</v>
      </c>
      <c r="C145" s="37"/>
      <c r="D145" s="37" t="s">
        <v>2682</v>
      </c>
      <c r="E145" s="39"/>
      <c r="F145" s="39" t="s">
        <v>2107</v>
      </c>
      <c r="G145" s="39" t="s">
        <v>2370</v>
      </c>
      <c r="H145" s="41">
        <v>86520000000</v>
      </c>
      <c r="I145" s="42">
        <v>23.37</v>
      </c>
      <c r="J145" s="43">
        <v>43992</v>
      </c>
      <c r="K145" s="43">
        <v>44712</v>
      </c>
      <c r="L145" s="74" t="s">
        <v>2683</v>
      </c>
    </row>
    <row r="146" spans="1:12" ht="17.399999999999999" x14ac:dyDescent="0.4">
      <c r="A146" s="37">
        <f t="shared" si="2"/>
        <v>141</v>
      </c>
      <c r="B146" s="38" t="s">
        <v>1918</v>
      </c>
      <c r="C146" s="37" t="s">
        <v>1808</v>
      </c>
      <c r="D146" s="37" t="s">
        <v>1919</v>
      </c>
      <c r="E146" s="39"/>
      <c r="F146" s="39" t="s">
        <v>491</v>
      </c>
      <c r="G146" s="39" t="s">
        <v>1920</v>
      </c>
      <c r="H146" s="41">
        <v>30000000000</v>
      </c>
      <c r="I146" s="42">
        <v>31.18</v>
      </c>
      <c r="J146" s="43">
        <v>44266</v>
      </c>
      <c r="K146" s="43">
        <v>44722</v>
      </c>
      <c r="L146" s="57" t="s">
        <v>1921</v>
      </c>
    </row>
    <row r="147" spans="1:12" ht="17.399999999999999" x14ac:dyDescent="0.4">
      <c r="A147" s="37">
        <f t="shared" si="2"/>
        <v>142</v>
      </c>
      <c r="B147" s="38" t="s">
        <v>1032</v>
      </c>
      <c r="C147" s="37" t="s">
        <v>1830</v>
      </c>
      <c r="D147" s="37" t="s">
        <v>1534</v>
      </c>
      <c r="E147" s="38" t="s">
        <v>1890</v>
      </c>
      <c r="F147" s="39" t="s">
        <v>491</v>
      </c>
      <c r="G147" s="40" t="s">
        <v>1891</v>
      </c>
      <c r="H147" s="41">
        <v>7876058360</v>
      </c>
      <c r="I147" s="42">
        <v>5.9</v>
      </c>
      <c r="J147" s="43">
        <v>44623</v>
      </c>
      <c r="K147" s="43">
        <v>44742</v>
      </c>
      <c r="L147" s="57" t="s">
        <v>1892</v>
      </c>
    </row>
    <row r="148" spans="1:12" ht="17.399999999999999" x14ac:dyDescent="0.4">
      <c r="A148" s="37">
        <f t="shared" si="2"/>
        <v>143</v>
      </c>
      <c r="B148" s="38" t="s">
        <v>1893</v>
      </c>
      <c r="C148" s="37" t="s">
        <v>1894</v>
      </c>
      <c r="D148" s="37" t="s">
        <v>1534</v>
      </c>
      <c r="E148" s="39" t="s">
        <v>1895</v>
      </c>
      <c r="F148" s="39" t="s">
        <v>491</v>
      </c>
      <c r="G148" s="39" t="s">
        <v>1896</v>
      </c>
      <c r="H148" s="41">
        <v>21543020314</v>
      </c>
      <c r="I148" s="42">
        <v>37.5</v>
      </c>
      <c r="J148" s="43">
        <v>44258</v>
      </c>
      <c r="K148" s="43">
        <v>44742</v>
      </c>
      <c r="L148" s="73" t="s">
        <v>1897</v>
      </c>
    </row>
    <row r="149" spans="1:12" ht="17.399999999999999" x14ac:dyDescent="0.4">
      <c r="A149" s="37">
        <f t="shared" si="2"/>
        <v>144</v>
      </c>
      <c r="B149" s="38" t="s">
        <v>2006</v>
      </c>
      <c r="C149" s="37" t="s">
        <v>2007</v>
      </c>
      <c r="D149" s="37" t="s">
        <v>1894</v>
      </c>
      <c r="E149" s="39"/>
      <c r="F149" s="39" t="s">
        <v>2008</v>
      </c>
      <c r="G149" s="39" t="s">
        <v>2009</v>
      </c>
      <c r="H149" s="41">
        <v>20000000000</v>
      </c>
      <c r="I149" s="42">
        <v>11.9</v>
      </c>
      <c r="J149" s="43">
        <v>44515</v>
      </c>
      <c r="K149" s="44">
        <v>44742</v>
      </c>
      <c r="L149" s="57" t="s">
        <v>2010</v>
      </c>
    </row>
    <row r="150" spans="1:12" ht="17.399999999999999" x14ac:dyDescent="0.4">
      <c r="A150" s="37">
        <f t="shared" si="2"/>
        <v>145</v>
      </c>
      <c r="B150" s="38" t="s">
        <v>2017</v>
      </c>
      <c r="C150" s="37" t="s">
        <v>2018</v>
      </c>
      <c r="D150" s="37" t="s">
        <v>2019</v>
      </c>
      <c r="E150" s="39" t="s">
        <v>2020</v>
      </c>
      <c r="F150" s="39" t="s">
        <v>491</v>
      </c>
      <c r="G150" s="39" t="s">
        <v>2021</v>
      </c>
      <c r="H150" s="41">
        <v>11700000000</v>
      </c>
      <c r="I150" s="42">
        <v>16.47</v>
      </c>
      <c r="J150" s="43">
        <v>44292</v>
      </c>
      <c r="K150" s="43">
        <v>44742</v>
      </c>
      <c r="L150" s="57" t="s">
        <v>2022</v>
      </c>
    </row>
    <row r="151" spans="1:12" ht="17.399999999999999" x14ac:dyDescent="0.4">
      <c r="A151" s="37">
        <f t="shared" si="2"/>
        <v>146</v>
      </c>
      <c r="B151" s="38" t="s">
        <v>1242</v>
      </c>
      <c r="C151" s="37" t="s">
        <v>2129</v>
      </c>
      <c r="D151" s="37" t="s">
        <v>2130</v>
      </c>
      <c r="E151" s="39" t="s">
        <v>1988</v>
      </c>
      <c r="F151" s="39" t="s">
        <v>2131</v>
      </c>
      <c r="G151" s="39" t="s">
        <v>2132</v>
      </c>
      <c r="H151" s="41">
        <v>12500000000</v>
      </c>
      <c r="I151" s="42">
        <v>24.26</v>
      </c>
      <c r="J151" s="43">
        <v>44110</v>
      </c>
      <c r="K151" s="43">
        <v>44742</v>
      </c>
      <c r="L151" s="57" t="s">
        <v>2133</v>
      </c>
    </row>
    <row r="152" spans="1:12" ht="17.399999999999999" x14ac:dyDescent="0.4">
      <c r="A152" s="37">
        <f t="shared" si="2"/>
        <v>147</v>
      </c>
      <c r="B152" s="38" t="s">
        <v>2206</v>
      </c>
      <c r="C152" s="37"/>
      <c r="D152" s="37" t="s">
        <v>2207</v>
      </c>
      <c r="E152" s="40"/>
      <c r="F152" s="39" t="s">
        <v>491</v>
      </c>
      <c r="G152" s="39" t="s">
        <v>2208</v>
      </c>
      <c r="H152" s="41">
        <v>7600000000</v>
      </c>
      <c r="I152" s="42">
        <v>8.4</v>
      </c>
      <c r="J152" s="43">
        <v>44448</v>
      </c>
      <c r="K152" s="44">
        <v>44742</v>
      </c>
      <c r="L152" s="57" t="s">
        <v>2209</v>
      </c>
    </row>
    <row r="153" spans="1:12" ht="17.399999999999999" x14ac:dyDescent="0.4">
      <c r="A153" s="37">
        <f t="shared" si="2"/>
        <v>148</v>
      </c>
      <c r="B153" s="38" t="s">
        <v>2311</v>
      </c>
      <c r="C153" s="37"/>
      <c r="D153" s="37" t="s">
        <v>2312</v>
      </c>
      <c r="E153" s="37"/>
      <c r="F153" s="38" t="s">
        <v>1689</v>
      </c>
      <c r="G153" s="38" t="s">
        <v>1690</v>
      </c>
      <c r="H153" s="41">
        <v>15316000000</v>
      </c>
      <c r="I153" s="42">
        <v>31.24</v>
      </c>
      <c r="J153" s="43">
        <v>44384</v>
      </c>
      <c r="K153" s="43">
        <v>44742</v>
      </c>
      <c r="L153" s="74" t="s">
        <v>2313</v>
      </c>
    </row>
    <row r="154" spans="1:12" ht="17.399999999999999" x14ac:dyDescent="0.4">
      <c r="A154" s="37">
        <f t="shared" si="2"/>
        <v>149</v>
      </c>
      <c r="B154" s="38" t="s">
        <v>2354</v>
      </c>
      <c r="C154" s="37"/>
      <c r="D154" s="37" t="s">
        <v>2350</v>
      </c>
      <c r="E154" s="39"/>
      <c r="F154" s="39" t="s">
        <v>491</v>
      </c>
      <c r="G154" s="40" t="s">
        <v>2355</v>
      </c>
      <c r="H154" s="41">
        <v>7000000000</v>
      </c>
      <c r="I154" s="42">
        <v>24.95</v>
      </c>
      <c r="J154" s="43">
        <v>44361</v>
      </c>
      <c r="K154" s="43">
        <v>44742</v>
      </c>
      <c r="L154" s="74" t="s">
        <v>2356</v>
      </c>
    </row>
    <row r="155" spans="1:12" ht="17.399999999999999" x14ac:dyDescent="0.4">
      <c r="A155" s="37">
        <f t="shared" si="2"/>
        <v>150</v>
      </c>
      <c r="B155" s="38" t="s">
        <v>1560</v>
      </c>
      <c r="C155" s="37"/>
      <c r="D155" s="37" t="s">
        <v>2402</v>
      </c>
      <c r="E155" s="39"/>
      <c r="F155" s="39" t="s">
        <v>523</v>
      </c>
      <c r="G155" s="39" t="s">
        <v>2403</v>
      </c>
      <c r="H155" s="41">
        <v>80600420000</v>
      </c>
      <c r="I155" s="42">
        <v>78.180000000000007</v>
      </c>
      <c r="J155" s="43">
        <v>44305</v>
      </c>
      <c r="K155" s="43">
        <v>44742</v>
      </c>
      <c r="L155" s="74" t="s">
        <v>2404</v>
      </c>
    </row>
    <row r="156" spans="1:12" ht="17.399999999999999" x14ac:dyDescent="0.4">
      <c r="A156" s="37">
        <f t="shared" si="2"/>
        <v>151</v>
      </c>
      <c r="B156" s="38" t="s">
        <v>2497</v>
      </c>
      <c r="C156" s="37" t="s">
        <v>2498</v>
      </c>
      <c r="D156" s="37" t="s">
        <v>2489</v>
      </c>
      <c r="E156" s="39" t="s">
        <v>2499</v>
      </c>
      <c r="F156" s="39" t="s">
        <v>2500</v>
      </c>
      <c r="G156" s="39" t="s">
        <v>2501</v>
      </c>
      <c r="H156" s="41">
        <v>149000000000</v>
      </c>
      <c r="I156" s="42">
        <v>31.1</v>
      </c>
      <c r="J156" s="43">
        <v>42416</v>
      </c>
      <c r="K156" s="43">
        <v>44742</v>
      </c>
      <c r="L156" s="74" t="s">
        <v>2502</v>
      </c>
    </row>
    <row r="157" spans="1:12" ht="17.399999999999999" x14ac:dyDescent="0.4">
      <c r="A157" s="37">
        <f t="shared" si="2"/>
        <v>152</v>
      </c>
      <c r="B157" s="38" t="s">
        <v>2705</v>
      </c>
      <c r="C157" s="37"/>
      <c r="D157" s="37" t="s">
        <v>2706</v>
      </c>
      <c r="E157" s="39"/>
      <c r="F157" s="39" t="s">
        <v>937</v>
      </c>
      <c r="G157" s="39" t="s">
        <v>2707</v>
      </c>
      <c r="H157" s="41">
        <v>150000000000</v>
      </c>
      <c r="I157" s="42">
        <v>78.900000000000006</v>
      </c>
      <c r="J157" s="43">
        <v>43944</v>
      </c>
      <c r="K157" s="43">
        <v>44742</v>
      </c>
      <c r="L157" s="74" t="s">
        <v>2708</v>
      </c>
    </row>
    <row r="158" spans="1:12" ht="26.4" x14ac:dyDescent="0.4">
      <c r="A158" s="37">
        <f t="shared" si="2"/>
        <v>153</v>
      </c>
      <c r="B158" s="38" t="s">
        <v>1930</v>
      </c>
      <c r="C158" s="37" t="s">
        <v>1615</v>
      </c>
      <c r="D158" s="37" t="s">
        <v>1817</v>
      </c>
      <c r="E158" s="40" t="s">
        <v>1931</v>
      </c>
      <c r="F158" s="39" t="s">
        <v>1932</v>
      </c>
      <c r="G158" s="39" t="s">
        <v>1933</v>
      </c>
      <c r="H158" s="41">
        <v>8631000000</v>
      </c>
      <c r="I158" s="42">
        <v>34.83</v>
      </c>
      <c r="J158" s="43">
        <v>44301</v>
      </c>
      <c r="K158" s="43">
        <v>44757</v>
      </c>
      <c r="L158" s="57" t="s">
        <v>1934</v>
      </c>
    </row>
    <row r="159" spans="1:12" ht="17.399999999999999" x14ac:dyDescent="0.4">
      <c r="A159" s="37">
        <f t="shared" si="2"/>
        <v>154</v>
      </c>
      <c r="B159" s="38" t="s">
        <v>1825</v>
      </c>
      <c r="C159" s="37"/>
      <c r="D159" s="37" t="s">
        <v>2805</v>
      </c>
      <c r="E159" s="39"/>
      <c r="F159" s="39" t="s">
        <v>2806</v>
      </c>
      <c r="G159" s="39" t="s">
        <v>2807</v>
      </c>
      <c r="H159" s="41">
        <v>157365040000</v>
      </c>
      <c r="I159" s="42">
        <v>5.92</v>
      </c>
      <c r="J159" s="43">
        <v>44377</v>
      </c>
      <c r="K159" s="43">
        <v>44769</v>
      </c>
      <c r="L159" s="74" t="s">
        <v>2808</v>
      </c>
    </row>
    <row r="160" spans="1:12" ht="17.399999999999999" x14ac:dyDescent="0.4">
      <c r="A160" s="37">
        <f t="shared" si="2"/>
        <v>155</v>
      </c>
      <c r="B160" s="38" t="s">
        <v>1898</v>
      </c>
      <c r="C160" s="37" t="s">
        <v>1808</v>
      </c>
      <c r="D160" s="37" t="s">
        <v>1534</v>
      </c>
      <c r="E160" s="39" t="s">
        <v>1899</v>
      </c>
      <c r="F160" s="39" t="s">
        <v>1900</v>
      </c>
      <c r="G160" s="39" t="s">
        <v>1901</v>
      </c>
      <c r="H160" s="41">
        <v>9678000000</v>
      </c>
      <c r="I160" s="42">
        <v>9.73</v>
      </c>
      <c r="J160" s="43">
        <v>44483</v>
      </c>
      <c r="K160" s="43">
        <v>44772</v>
      </c>
      <c r="L160" s="57" t="s">
        <v>1902</v>
      </c>
    </row>
    <row r="161" spans="1:12" ht="17.399999999999999" x14ac:dyDescent="0.4">
      <c r="A161" s="37">
        <f t="shared" si="2"/>
        <v>156</v>
      </c>
      <c r="B161" s="38" t="s">
        <v>1944</v>
      </c>
      <c r="C161" s="37" t="s">
        <v>1945</v>
      </c>
      <c r="D161" s="37" t="s">
        <v>1946</v>
      </c>
      <c r="E161" s="39"/>
      <c r="F161" s="39" t="s">
        <v>1947</v>
      </c>
      <c r="G161" s="39" t="s">
        <v>1948</v>
      </c>
      <c r="H161" s="41">
        <v>69300000000</v>
      </c>
      <c r="I161" s="42">
        <v>32.47</v>
      </c>
      <c r="J161" s="43">
        <v>44326</v>
      </c>
      <c r="K161" s="43">
        <v>44773</v>
      </c>
      <c r="L161" s="57" t="s">
        <v>1949</v>
      </c>
    </row>
    <row r="162" spans="1:12" ht="17.399999999999999" x14ac:dyDescent="0.4">
      <c r="A162" s="37">
        <f t="shared" si="2"/>
        <v>157</v>
      </c>
      <c r="B162" s="38" t="s">
        <v>2134</v>
      </c>
      <c r="C162" s="37"/>
      <c r="D162" s="37" t="s">
        <v>2135</v>
      </c>
      <c r="E162" s="39"/>
      <c r="F162" s="39" t="s">
        <v>2136</v>
      </c>
      <c r="G162" s="40" t="s">
        <v>2137</v>
      </c>
      <c r="H162" s="41">
        <v>7200000000</v>
      </c>
      <c r="I162" s="42">
        <v>14.56</v>
      </c>
      <c r="J162" s="43">
        <v>44550</v>
      </c>
      <c r="K162" s="44">
        <v>44773</v>
      </c>
      <c r="L162" s="70" t="s">
        <v>2138</v>
      </c>
    </row>
    <row r="163" spans="1:12" ht="17.399999999999999" x14ac:dyDescent="0.4">
      <c r="A163" s="37">
        <f t="shared" si="2"/>
        <v>158</v>
      </c>
      <c r="B163" s="38" t="s">
        <v>2475</v>
      </c>
      <c r="C163" s="37"/>
      <c r="D163" s="37" t="s">
        <v>2358</v>
      </c>
      <c r="E163" s="39"/>
      <c r="F163" s="39" t="s">
        <v>2476</v>
      </c>
      <c r="G163" s="39" t="s">
        <v>2477</v>
      </c>
      <c r="H163" s="41">
        <v>21000000000</v>
      </c>
      <c r="I163" s="42">
        <v>28.46</v>
      </c>
      <c r="J163" s="43">
        <v>44232</v>
      </c>
      <c r="K163" s="43">
        <v>44773</v>
      </c>
      <c r="L163" s="82" t="s">
        <v>2478</v>
      </c>
    </row>
    <row r="164" spans="1:12" ht="17.399999999999999" x14ac:dyDescent="0.4">
      <c r="A164" s="37">
        <f t="shared" si="2"/>
        <v>159</v>
      </c>
      <c r="B164" s="38" t="s">
        <v>1697</v>
      </c>
      <c r="C164" s="37" t="s">
        <v>1798</v>
      </c>
      <c r="D164" s="37" t="s">
        <v>1771</v>
      </c>
      <c r="E164" s="38" t="s">
        <v>1799</v>
      </c>
      <c r="F164" s="39" t="s">
        <v>1699</v>
      </c>
      <c r="G164" s="39" t="s">
        <v>1800</v>
      </c>
      <c r="H164" s="41">
        <v>10115393420</v>
      </c>
      <c r="I164" s="42">
        <v>36.67</v>
      </c>
      <c r="J164" s="43">
        <v>43732</v>
      </c>
      <c r="K164" s="43">
        <v>44804</v>
      </c>
      <c r="L164" s="57" t="s">
        <v>1801</v>
      </c>
    </row>
    <row r="165" spans="1:12" ht="17.399999999999999" x14ac:dyDescent="0.4">
      <c r="A165" s="37">
        <f t="shared" si="2"/>
        <v>160</v>
      </c>
      <c r="B165" s="38" t="s">
        <v>129</v>
      </c>
      <c r="C165" s="37" t="s">
        <v>1935</v>
      </c>
      <c r="D165" s="37" t="s">
        <v>1652</v>
      </c>
      <c r="E165" s="39"/>
      <c r="F165" s="39" t="s">
        <v>1936</v>
      </c>
      <c r="G165" s="39" t="s">
        <v>1937</v>
      </c>
      <c r="H165" s="41">
        <v>8000000000</v>
      </c>
      <c r="I165" s="42">
        <v>25.78</v>
      </c>
      <c r="J165" s="43">
        <v>44364</v>
      </c>
      <c r="K165" s="43">
        <v>44804</v>
      </c>
      <c r="L165" s="57" t="s">
        <v>1938</v>
      </c>
    </row>
    <row r="166" spans="1:12" ht="17.399999999999999" x14ac:dyDescent="0.4">
      <c r="A166" s="37">
        <f t="shared" si="2"/>
        <v>161</v>
      </c>
      <c r="B166" s="38" t="s">
        <v>2085</v>
      </c>
      <c r="C166" s="37"/>
      <c r="D166" s="37" t="s">
        <v>2086</v>
      </c>
      <c r="E166" s="40"/>
      <c r="F166" s="39" t="s">
        <v>491</v>
      </c>
      <c r="G166" s="39" t="s">
        <v>2087</v>
      </c>
      <c r="H166" s="41">
        <v>10200000000</v>
      </c>
      <c r="I166" s="42">
        <v>12.65</v>
      </c>
      <c r="J166" s="43">
        <v>44568</v>
      </c>
      <c r="K166" s="44">
        <v>44804</v>
      </c>
      <c r="L166" s="57" t="s">
        <v>2088</v>
      </c>
    </row>
    <row r="167" spans="1:12" ht="17.399999999999999" x14ac:dyDescent="0.4">
      <c r="A167" s="37">
        <f t="shared" si="2"/>
        <v>162</v>
      </c>
      <c r="B167" s="38" t="s">
        <v>2385</v>
      </c>
      <c r="C167" s="37"/>
      <c r="D167" s="37" t="s">
        <v>2484</v>
      </c>
      <c r="E167" s="39"/>
      <c r="F167" s="39" t="s">
        <v>2487</v>
      </c>
      <c r="G167" s="39" t="s">
        <v>2388</v>
      </c>
      <c r="H167" s="41">
        <v>87661496130</v>
      </c>
      <c r="I167" s="42">
        <v>31.43</v>
      </c>
      <c r="J167" s="43">
        <v>44214</v>
      </c>
      <c r="K167" s="43">
        <v>44804</v>
      </c>
      <c r="L167" s="74" t="s">
        <v>2488</v>
      </c>
    </row>
    <row r="168" spans="1:12" ht="17.399999999999999" x14ac:dyDescent="0.4">
      <c r="A168" s="37">
        <f t="shared" si="2"/>
        <v>163</v>
      </c>
      <c r="B168" s="38" t="s">
        <v>1557</v>
      </c>
      <c r="C168" s="37" t="s">
        <v>2035</v>
      </c>
      <c r="D168" s="37" t="s">
        <v>2564</v>
      </c>
      <c r="E168" s="39"/>
      <c r="F168" s="39" t="s">
        <v>2038</v>
      </c>
      <c r="G168" s="39" t="s">
        <v>2565</v>
      </c>
      <c r="H168" s="41">
        <v>165668000000</v>
      </c>
      <c r="I168" s="42">
        <v>21.9</v>
      </c>
      <c r="J168" s="43">
        <v>43780</v>
      </c>
      <c r="K168" s="43">
        <v>44804</v>
      </c>
      <c r="L168" s="74" t="s">
        <v>2566</v>
      </c>
    </row>
    <row r="169" spans="1:12" ht="17.399999999999999" x14ac:dyDescent="0.4">
      <c r="A169" s="37">
        <f t="shared" si="2"/>
        <v>164</v>
      </c>
      <c r="B169" s="38" t="s">
        <v>148</v>
      </c>
      <c r="C169" s="37"/>
      <c r="D169" s="37" t="s">
        <v>2581</v>
      </c>
      <c r="E169" s="39"/>
      <c r="F169" s="39" t="s">
        <v>2115</v>
      </c>
      <c r="G169" s="39" t="s">
        <v>2582</v>
      </c>
      <c r="H169" s="41">
        <v>34845000000</v>
      </c>
      <c r="I169" s="42">
        <v>11.47</v>
      </c>
      <c r="J169" s="43">
        <v>44111</v>
      </c>
      <c r="K169" s="43">
        <v>44804</v>
      </c>
      <c r="L169" s="74" t="s">
        <v>2583</v>
      </c>
    </row>
    <row r="170" spans="1:12" ht="17.399999999999999" x14ac:dyDescent="0.4">
      <c r="A170" s="37">
        <f t="shared" si="2"/>
        <v>165</v>
      </c>
      <c r="B170" s="38" t="s">
        <v>2442</v>
      </c>
      <c r="C170" s="37"/>
      <c r="D170" s="37" t="s">
        <v>2443</v>
      </c>
      <c r="E170" s="39"/>
      <c r="F170" s="39" t="s">
        <v>2107</v>
      </c>
      <c r="G170" s="39" t="s">
        <v>2444</v>
      </c>
      <c r="H170" s="41">
        <v>5800000000</v>
      </c>
      <c r="I170" s="42">
        <v>15.83</v>
      </c>
      <c r="J170" s="43">
        <v>44259</v>
      </c>
      <c r="K170" s="43">
        <v>44808</v>
      </c>
      <c r="L170" s="74" t="s">
        <v>2445</v>
      </c>
    </row>
    <row r="171" spans="1:12" ht="26.4" x14ac:dyDescent="0.4">
      <c r="A171" s="37">
        <f t="shared" si="2"/>
        <v>166</v>
      </c>
      <c r="B171" s="38" t="s">
        <v>1770</v>
      </c>
      <c r="C171" s="37" t="s">
        <v>1771</v>
      </c>
      <c r="D171" s="37" t="s">
        <v>1772</v>
      </c>
      <c r="E171" s="55" t="s">
        <v>1773</v>
      </c>
      <c r="F171" s="39" t="s">
        <v>1774</v>
      </c>
      <c r="G171" s="55" t="s">
        <v>1775</v>
      </c>
      <c r="H171" s="41">
        <v>15985332288</v>
      </c>
      <c r="I171" s="42">
        <v>66</v>
      </c>
      <c r="J171" s="43">
        <v>43818</v>
      </c>
      <c r="K171" s="43">
        <v>44834</v>
      </c>
      <c r="L171" s="70" t="s">
        <v>1776</v>
      </c>
    </row>
    <row r="172" spans="1:12" ht="26.4" x14ac:dyDescent="0.4">
      <c r="A172" s="37">
        <f t="shared" si="2"/>
        <v>167</v>
      </c>
      <c r="B172" s="38" t="s">
        <v>237</v>
      </c>
      <c r="C172" s="37" t="s">
        <v>1802</v>
      </c>
      <c r="D172" s="37" t="s">
        <v>1771</v>
      </c>
      <c r="E172" s="39" t="s">
        <v>1803</v>
      </c>
      <c r="F172" s="40" t="s">
        <v>1804</v>
      </c>
      <c r="G172" s="40" t="s">
        <v>1805</v>
      </c>
      <c r="H172" s="45">
        <v>18390000000</v>
      </c>
      <c r="I172" s="42">
        <v>11.87</v>
      </c>
      <c r="J172" s="43">
        <v>44431</v>
      </c>
      <c r="K172" s="43">
        <v>44834</v>
      </c>
      <c r="L172" s="57" t="s">
        <v>1806</v>
      </c>
    </row>
    <row r="173" spans="1:12" ht="17.399999999999999" x14ac:dyDescent="0.4">
      <c r="A173" s="37">
        <f t="shared" si="2"/>
        <v>168</v>
      </c>
      <c r="B173" s="38" t="s">
        <v>519</v>
      </c>
      <c r="C173" s="37" t="s">
        <v>1813</v>
      </c>
      <c r="D173" s="37" t="s">
        <v>534</v>
      </c>
      <c r="E173" s="39" t="s">
        <v>1392</v>
      </c>
      <c r="F173" s="39" t="s">
        <v>1618</v>
      </c>
      <c r="G173" s="39" t="s">
        <v>1814</v>
      </c>
      <c r="H173" s="41">
        <v>53561200000</v>
      </c>
      <c r="I173" s="42">
        <v>17</v>
      </c>
      <c r="J173" s="43">
        <v>44099</v>
      </c>
      <c r="K173" s="43">
        <v>44834</v>
      </c>
      <c r="L173" s="73" t="s">
        <v>1815</v>
      </c>
    </row>
    <row r="174" spans="1:12" ht="17.399999999999999" x14ac:dyDescent="0.4">
      <c r="A174" s="37">
        <f t="shared" si="2"/>
        <v>169</v>
      </c>
      <c r="B174" s="38" t="s">
        <v>1495</v>
      </c>
      <c r="C174" s="37"/>
      <c r="D174" s="37" t="s">
        <v>2065</v>
      </c>
      <c r="E174" s="40"/>
      <c r="F174" s="39" t="s">
        <v>491</v>
      </c>
      <c r="G174" s="39" t="s">
        <v>2066</v>
      </c>
      <c r="H174" s="41">
        <v>8000000000</v>
      </c>
      <c r="I174" s="42">
        <v>5.7</v>
      </c>
      <c r="J174" s="43">
        <v>44587</v>
      </c>
      <c r="K174" s="44">
        <v>44834</v>
      </c>
      <c r="L174" s="57" t="s">
        <v>2067</v>
      </c>
    </row>
    <row r="175" spans="1:12" ht="17.399999999999999" x14ac:dyDescent="0.4">
      <c r="A175" s="37">
        <f t="shared" si="2"/>
        <v>170</v>
      </c>
      <c r="B175" s="38" t="s">
        <v>2172</v>
      </c>
      <c r="C175" s="37"/>
      <c r="D175" s="37" t="s">
        <v>2173</v>
      </c>
      <c r="E175" s="39"/>
      <c r="F175" s="39" t="s">
        <v>491</v>
      </c>
      <c r="G175" s="39" t="s">
        <v>2174</v>
      </c>
      <c r="H175" s="41">
        <v>8000000000</v>
      </c>
      <c r="I175" s="42">
        <v>15.2</v>
      </c>
      <c r="J175" s="43">
        <v>44489</v>
      </c>
      <c r="K175" s="43">
        <v>44834</v>
      </c>
      <c r="L175" s="57" t="s">
        <v>2175</v>
      </c>
    </row>
    <row r="176" spans="1:12" ht="17.399999999999999" x14ac:dyDescent="0.4">
      <c r="A176" s="37">
        <f t="shared" si="2"/>
        <v>171</v>
      </c>
      <c r="B176" s="38" t="s">
        <v>2197</v>
      </c>
      <c r="C176" s="37"/>
      <c r="D176" s="37" t="s">
        <v>2198</v>
      </c>
      <c r="E176" s="40"/>
      <c r="F176" s="40" t="s">
        <v>2199</v>
      </c>
      <c r="G176" s="39" t="s">
        <v>2200</v>
      </c>
      <c r="H176" s="45">
        <v>23834080630</v>
      </c>
      <c r="I176" s="42">
        <v>20.83</v>
      </c>
      <c r="J176" s="43">
        <v>44456</v>
      </c>
      <c r="K176" s="44">
        <v>44834</v>
      </c>
      <c r="L176" s="70" t="s">
        <v>2201</v>
      </c>
    </row>
    <row r="177" spans="1:12" ht="17.399999999999999" x14ac:dyDescent="0.4">
      <c r="A177" s="37">
        <f t="shared" si="2"/>
        <v>172</v>
      </c>
      <c r="B177" s="38" t="s">
        <v>1522</v>
      </c>
      <c r="C177" s="37"/>
      <c r="D177" s="37" t="s">
        <v>2212</v>
      </c>
      <c r="E177" s="40"/>
      <c r="F177" s="39" t="s">
        <v>2216</v>
      </c>
      <c r="G177" s="39" t="s">
        <v>2217</v>
      </c>
      <c r="H177" s="41">
        <v>119861000000</v>
      </c>
      <c r="I177" s="42">
        <v>29.79</v>
      </c>
      <c r="J177" s="43">
        <v>44447</v>
      </c>
      <c r="K177" s="44">
        <v>44834</v>
      </c>
      <c r="L177" s="73" t="s">
        <v>2218</v>
      </c>
    </row>
    <row r="178" spans="1:12" ht="17.399999999999999" x14ac:dyDescent="0.4">
      <c r="A178" s="37">
        <f t="shared" si="2"/>
        <v>173</v>
      </c>
      <c r="B178" s="38" t="s">
        <v>1020</v>
      </c>
      <c r="C178" s="37" t="s">
        <v>1756</v>
      </c>
      <c r="D178" s="37" t="s">
        <v>1756</v>
      </c>
      <c r="E178" s="39" t="s">
        <v>1757</v>
      </c>
      <c r="F178" s="39" t="s">
        <v>1758</v>
      </c>
      <c r="G178" s="39" t="s">
        <v>1024</v>
      </c>
      <c r="H178" s="41">
        <v>49400000000</v>
      </c>
      <c r="I178" s="42">
        <v>29.62</v>
      </c>
      <c r="J178" s="43">
        <v>44187</v>
      </c>
      <c r="K178" s="43">
        <v>44838</v>
      </c>
      <c r="L178" s="57" t="s">
        <v>1759</v>
      </c>
    </row>
    <row r="179" spans="1:12" ht="17.399999999999999" x14ac:dyDescent="0.4">
      <c r="A179" s="37">
        <f t="shared" si="2"/>
        <v>174</v>
      </c>
      <c r="B179" s="38" t="s">
        <v>1903</v>
      </c>
      <c r="C179" s="37" t="s">
        <v>1904</v>
      </c>
      <c r="D179" s="37" t="s">
        <v>1156</v>
      </c>
      <c r="E179" s="39"/>
      <c r="F179" s="40" t="s">
        <v>1905</v>
      </c>
      <c r="G179" s="40" t="s">
        <v>1906</v>
      </c>
      <c r="H179" s="45">
        <v>22249000000</v>
      </c>
      <c r="I179" s="42">
        <v>24.78</v>
      </c>
      <c r="J179" s="43">
        <v>44421</v>
      </c>
      <c r="K179" s="43">
        <v>44864</v>
      </c>
      <c r="L179" s="70" t="s">
        <v>1907</v>
      </c>
    </row>
    <row r="180" spans="1:12" ht="17.399999999999999" x14ac:dyDescent="0.4">
      <c r="A180" s="37">
        <f t="shared" si="2"/>
        <v>175</v>
      </c>
      <c r="B180" s="38" t="s">
        <v>1731</v>
      </c>
      <c r="C180" s="37" t="s">
        <v>1687</v>
      </c>
      <c r="D180" s="37" t="s">
        <v>1732</v>
      </c>
      <c r="E180" s="39" t="s">
        <v>1733</v>
      </c>
      <c r="F180" s="39" t="s">
        <v>1734</v>
      </c>
      <c r="G180" s="39" t="s">
        <v>1735</v>
      </c>
      <c r="H180" s="41">
        <v>33866049370</v>
      </c>
      <c r="I180" s="42">
        <v>31.1</v>
      </c>
      <c r="J180" s="43">
        <v>44505</v>
      </c>
      <c r="K180" s="44">
        <v>44865</v>
      </c>
      <c r="L180" s="68" t="s">
        <v>1736</v>
      </c>
    </row>
    <row r="181" spans="1:12" ht="17.399999999999999" x14ac:dyDescent="0.4">
      <c r="A181" s="37">
        <f t="shared" si="2"/>
        <v>176</v>
      </c>
      <c r="B181" s="38" t="s">
        <v>1417</v>
      </c>
      <c r="C181" s="37" t="s">
        <v>1781</v>
      </c>
      <c r="D181" s="37" t="s">
        <v>1782</v>
      </c>
      <c r="E181" s="40" t="s">
        <v>1783</v>
      </c>
      <c r="F181" s="39" t="s">
        <v>1784</v>
      </c>
      <c r="G181" s="39" t="s">
        <v>1785</v>
      </c>
      <c r="H181" s="41">
        <v>15000000000</v>
      </c>
      <c r="I181" s="42">
        <v>27.02</v>
      </c>
      <c r="J181" s="43">
        <v>44554</v>
      </c>
      <c r="K181" s="43">
        <v>44865</v>
      </c>
      <c r="L181" s="70" t="s">
        <v>1786</v>
      </c>
    </row>
    <row r="182" spans="1:12" ht="17.399999999999999" x14ac:dyDescent="0.4">
      <c r="A182" s="37">
        <f t="shared" si="2"/>
        <v>177</v>
      </c>
      <c r="B182" s="38" t="s">
        <v>1807</v>
      </c>
      <c r="C182" s="37" t="s">
        <v>1808</v>
      </c>
      <c r="D182" s="37" t="s">
        <v>1771</v>
      </c>
      <c r="E182" s="39" t="s">
        <v>1809</v>
      </c>
      <c r="F182" s="39" t="s">
        <v>1810</v>
      </c>
      <c r="G182" s="39" t="s">
        <v>1811</v>
      </c>
      <c r="H182" s="41">
        <v>8077954546</v>
      </c>
      <c r="I182" s="42">
        <v>23.8</v>
      </c>
      <c r="J182" s="43">
        <v>44161</v>
      </c>
      <c r="K182" s="43">
        <v>44865</v>
      </c>
      <c r="L182" s="70" t="s">
        <v>1812</v>
      </c>
    </row>
    <row r="183" spans="1:12" ht="26.4" x14ac:dyDescent="0.4">
      <c r="A183" s="37">
        <f t="shared" si="2"/>
        <v>178</v>
      </c>
      <c r="B183" s="38" t="s">
        <v>1869</v>
      </c>
      <c r="C183" s="37"/>
      <c r="D183" s="37" t="s">
        <v>1870</v>
      </c>
      <c r="E183" s="39"/>
      <c r="F183" s="39" t="s">
        <v>1871</v>
      </c>
      <c r="G183" s="40" t="s">
        <v>1872</v>
      </c>
      <c r="H183" s="41">
        <v>1012850000000</v>
      </c>
      <c r="I183" s="42">
        <v>11.1</v>
      </c>
      <c r="J183" s="43">
        <v>44757</v>
      </c>
      <c r="K183" s="43">
        <v>44865</v>
      </c>
      <c r="L183" s="70" t="s">
        <v>1873</v>
      </c>
    </row>
    <row r="184" spans="1:12" ht="17.399999999999999" x14ac:dyDescent="0.4">
      <c r="A184" s="37">
        <f t="shared" si="2"/>
        <v>179</v>
      </c>
      <c r="B184" s="38" t="s">
        <v>2223</v>
      </c>
      <c r="C184" s="37"/>
      <c r="D184" s="37" t="s">
        <v>2224</v>
      </c>
      <c r="E184" s="39"/>
      <c r="F184" s="40" t="s">
        <v>2225</v>
      </c>
      <c r="G184" s="40" t="s">
        <v>2226</v>
      </c>
      <c r="H184" s="45">
        <v>36000000000</v>
      </c>
      <c r="I184" s="42">
        <v>27.51</v>
      </c>
      <c r="J184" s="43">
        <v>44442</v>
      </c>
      <c r="K184" s="43">
        <v>44865</v>
      </c>
      <c r="L184" s="57" t="s">
        <v>2227</v>
      </c>
    </row>
    <row r="185" spans="1:12" ht="17.399999999999999" x14ac:dyDescent="0.4">
      <c r="A185" s="37">
        <f t="shared" si="2"/>
        <v>180</v>
      </c>
      <c r="B185" s="38" t="s">
        <v>1839</v>
      </c>
      <c r="C185" s="37"/>
      <c r="D185" s="37" t="s">
        <v>2294</v>
      </c>
      <c r="E185" s="38"/>
      <c r="F185" s="39" t="s">
        <v>491</v>
      </c>
      <c r="G185" s="39" t="s">
        <v>2295</v>
      </c>
      <c r="H185" s="41">
        <v>11000000000</v>
      </c>
      <c r="I185" s="42">
        <v>6.7</v>
      </c>
      <c r="J185" s="43">
        <v>44391</v>
      </c>
      <c r="K185" s="43">
        <v>44865</v>
      </c>
      <c r="L185" s="68" t="s">
        <v>2296</v>
      </c>
    </row>
    <row r="186" spans="1:12" ht="17.399999999999999" x14ac:dyDescent="0.4">
      <c r="A186" s="37">
        <f t="shared" si="2"/>
        <v>181</v>
      </c>
      <c r="B186" s="38" t="s">
        <v>2409</v>
      </c>
      <c r="C186" s="37"/>
      <c r="D186" s="37" t="s">
        <v>2018</v>
      </c>
      <c r="E186" s="39"/>
      <c r="F186" s="39" t="s">
        <v>491</v>
      </c>
      <c r="G186" s="39" t="s">
        <v>2410</v>
      </c>
      <c r="H186" s="41">
        <v>66727272727</v>
      </c>
      <c r="I186" s="42">
        <v>24.1</v>
      </c>
      <c r="J186" s="43">
        <v>44331</v>
      </c>
      <c r="K186" s="43">
        <v>44865</v>
      </c>
      <c r="L186" s="74" t="s">
        <v>2411</v>
      </c>
    </row>
    <row r="187" spans="1:12" ht="17.399999999999999" x14ac:dyDescent="0.4">
      <c r="A187" s="37">
        <f t="shared" si="2"/>
        <v>182</v>
      </c>
      <c r="B187" s="38" t="s">
        <v>1821</v>
      </c>
      <c r="C187" s="37"/>
      <c r="D187" s="37" t="s">
        <v>2553</v>
      </c>
      <c r="E187" s="39"/>
      <c r="F187" s="39" t="s">
        <v>2554</v>
      </c>
      <c r="G187" s="39" t="s">
        <v>2555</v>
      </c>
      <c r="H187" s="41">
        <v>210000000000</v>
      </c>
      <c r="I187" s="42">
        <v>159.31</v>
      </c>
      <c r="J187" s="43">
        <v>44148</v>
      </c>
      <c r="K187" s="43">
        <v>44865</v>
      </c>
      <c r="L187" s="77" t="s">
        <v>2556</v>
      </c>
    </row>
    <row r="188" spans="1:12" ht="17.399999999999999" x14ac:dyDescent="0.4">
      <c r="A188" s="37">
        <f t="shared" si="2"/>
        <v>183</v>
      </c>
      <c r="B188" s="38" t="s">
        <v>1707</v>
      </c>
      <c r="C188" s="37"/>
      <c r="D188" s="37" t="s">
        <v>2593</v>
      </c>
      <c r="E188" s="39"/>
      <c r="F188" s="39" t="s">
        <v>2594</v>
      </c>
      <c r="G188" s="39" t="s">
        <v>2595</v>
      </c>
      <c r="H188" s="41">
        <v>160000000000</v>
      </c>
      <c r="I188" s="42">
        <v>9</v>
      </c>
      <c r="J188" s="43">
        <v>44102</v>
      </c>
      <c r="K188" s="43">
        <v>44865</v>
      </c>
      <c r="L188" s="74" t="s">
        <v>2596</v>
      </c>
    </row>
    <row r="189" spans="1:12" ht="17.399999999999999" x14ac:dyDescent="0.4">
      <c r="A189" s="37">
        <f t="shared" si="2"/>
        <v>184</v>
      </c>
      <c r="B189" s="38" t="s">
        <v>2533</v>
      </c>
      <c r="C189" s="37"/>
      <c r="D189" s="37" t="s">
        <v>2834</v>
      </c>
      <c r="E189" s="39"/>
      <c r="F189" s="39" t="s">
        <v>2536</v>
      </c>
      <c r="G189" s="39" t="s">
        <v>2537</v>
      </c>
      <c r="H189" s="41">
        <v>438549696300</v>
      </c>
      <c r="I189" s="42">
        <v>54.7</v>
      </c>
      <c r="J189" s="43">
        <v>43817</v>
      </c>
      <c r="K189" s="43">
        <v>44865</v>
      </c>
      <c r="L189" s="82" t="s">
        <v>2838</v>
      </c>
    </row>
    <row r="190" spans="1:12" ht="17.399999999999999" x14ac:dyDescent="0.4">
      <c r="A190" s="37">
        <f t="shared" si="2"/>
        <v>185</v>
      </c>
      <c r="B190" s="38" t="s">
        <v>1742</v>
      </c>
      <c r="C190" s="37" t="s">
        <v>1743</v>
      </c>
      <c r="D190" s="37" t="s">
        <v>1744</v>
      </c>
      <c r="E190" s="40"/>
      <c r="F190" s="39" t="s">
        <v>1745</v>
      </c>
      <c r="G190" s="39" t="s">
        <v>1746</v>
      </c>
      <c r="H190" s="41">
        <v>3800000000</v>
      </c>
      <c r="I190" s="42">
        <v>10.65</v>
      </c>
      <c r="J190" s="43">
        <v>44692</v>
      </c>
      <c r="K190" s="43">
        <v>44876</v>
      </c>
      <c r="L190" s="57" t="s">
        <v>1747</v>
      </c>
    </row>
    <row r="191" spans="1:12" ht="17.399999999999999" x14ac:dyDescent="0.4">
      <c r="A191" s="37">
        <f t="shared" si="2"/>
        <v>186</v>
      </c>
      <c r="B191" s="38" t="s">
        <v>1677</v>
      </c>
      <c r="C191" s="37" t="s">
        <v>1678</v>
      </c>
      <c r="D191" s="37" t="s">
        <v>1644</v>
      </c>
      <c r="E191" s="39"/>
      <c r="F191" s="39" t="s">
        <v>1679</v>
      </c>
      <c r="G191" s="39" t="s">
        <v>1680</v>
      </c>
      <c r="H191" s="41">
        <v>4700000000</v>
      </c>
      <c r="I191" s="42">
        <v>13.89</v>
      </c>
      <c r="J191" s="43">
        <v>44672</v>
      </c>
      <c r="K191" s="44">
        <v>44895</v>
      </c>
      <c r="L191" s="70" t="s">
        <v>1681</v>
      </c>
    </row>
    <row r="192" spans="1:12" ht="17.399999999999999" x14ac:dyDescent="0.4">
      <c r="A192" s="37">
        <f t="shared" si="2"/>
        <v>187</v>
      </c>
      <c r="B192" s="38" t="s">
        <v>1816</v>
      </c>
      <c r="C192" s="37" t="s">
        <v>1817</v>
      </c>
      <c r="D192" s="37" t="s">
        <v>534</v>
      </c>
      <c r="E192" s="39"/>
      <c r="F192" s="39" t="s">
        <v>1818</v>
      </c>
      <c r="G192" s="39" t="s">
        <v>1819</v>
      </c>
      <c r="H192" s="41">
        <v>7500000000</v>
      </c>
      <c r="I192" s="42">
        <v>12.01</v>
      </c>
      <c r="J192" s="43">
        <v>44474</v>
      </c>
      <c r="K192" s="43">
        <v>44895</v>
      </c>
      <c r="L192" s="57" t="s">
        <v>1820</v>
      </c>
    </row>
    <row r="193" spans="1:12" ht="17.399999999999999" x14ac:dyDescent="0.4">
      <c r="A193" s="37">
        <f t="shared" si="2"/>
        <v>188</v>
      </c>
      <c r="B193" s="38" t="s">
        <v>1874</v>
      </c>
      <c r="C193" s="37" t="s">
        <v>1320</v>
      </c>
      <c r="D193" s="37" t="s">
        <v>1875</v>
      </c>
      <c r="E193" s="39"/>
      <c r="F193" s="39" t="s">
        <v>491</v>
      </c>
      <c r="G193" s="39" t="s">
        <v>1876</v>
      </c>
      <c r="H193" s="41">
        <v>13142000000</v>
      </c>
      <c r="I193" s="42">
        <v>9.51</v>
      </c>
      <c r="J193" s="43">
        <v>44522</v>
      </c>
      <c r="K193" s="44">
        <v>44895</v>
      </c>
      <c r="L193" s="57" t="s">
        <v>1877</v>
      </c>
    </row>
    <row r="194" spans="1:12" ht="26.4" x14ac:dyDescent="0.4">
      <c r="A194" s="37">
        <f t="shared" si="2"/>
        <v>189</v>
      </c>
      <c r="B194" s="38" t="s">
        <v>1610</v>
      </c>
      <c r="C194" s="37"/>
      <c r="D194" s="37" t="s">
        <v>2202</v>
      </c>
      <c r="E194" s="40"/>
      <c r="F194" s="40" t="s">
        <v>2203</v>
      </c>
      <c r="G194" s="39" t="s">
        <v>2204</v>
      </c>
      <c r="H194" s="41">
        <v>50000000000</v>
      </c>
      <c r="I194" s="42">
        <v>21.57</v>
      </c>
      <c r="J194" s="43">
        <v>44454</v>
      </c>
      <c r="K194" s="44">
        <v>44895</v>
      </c>
      <c r="L194" s="68" t="s">
        <v>2205</v>
      </c>
    </row>
    <row r="195" spans="1:12" ht="17.399999999999999" x14ac:dyDescent="0.4">
      <c r="A195" s="37">
        <f t="shared" si="2"/>
        <v>190</v>
      </c>
      <c r="B195" s="38" t="s">
        <v>2219</v>
      </c>
      <c r="C195" s="37"/>
      <c r="D195" s="37" t="s">
        <v>2212</v>
      </c>
      <c r="E195" s="40"/>
      <c r="F195" s="39" t="s">
        <v>2220</v>
      </c>
      <c r="G195" s="39" t="s">
        <v>2221</v>
      </c>
      <c r="H195" s="41">
        <v>17630000000</v>
      </c>
      <c r="I195" s="42">
        <v>7.2</v>
      </c>
      <c r="J195" s="43">
        <v>44447</v>
      </c>
      <c r="K195" s="44">
        <v>44895</v>
      </c>
      <c r="L195" s="70" t="s">
        <v>2222</v>
      </c>
    </row>
    <row r="196" spans="1:12" ht="17.399999999999999" x14ac:dyDescent="0.4">
      <c r="A196" s="37">
        <f t="shared" si="2"/>
        <v>191</v>
      </c>
      <c r="B196" s="38" t="s">
        <v>2231</v>
      </c>
      <c r="C196" s="37"/>
      <c r="D196" s="37" t="s">
        <v>2228</v>
      </c>
      <c r="E196" s="39"/>
      <c r="F196" s="40" t="s">
        <v>2232</v>
      </c>
      <c r="G196" s="40" t="s">
        <v>2233</v>
      </c>
      <c r="H196" s="45">
        <v>70918259446</v>
      </c>
      <c r="I196" s="42">
        <v>32.85</v>
      </c>
      <c r="J196" s="43">
        <v>44441</v>
      </c>
      <c r="K196" s="43">
        <v>44895</v>
      </c>
      <c r="L196" s="57" t="s">
        <v>2234</v>
      </c>
    </row>
    <row r="197" spans="1:12" ht="17.399999999999999" x14ac:dyDescent="0.4">
      <c r="A197" s="37">
        <f t="shared" si="2"/>
        <v>192</v>
      </c>
      <c r="B197" s="38" t="s">
        <v>1557</v>
      </c>
      <c r="C197" s="37"/>
      <c r="D197" s="37" t="s">
        <v>2630</v>
      </c>
      <c r="E197" s="39"/>
      <c r="F197" s="39" t="s">
        <v>1343</v>
      </c>
      <c r="G197" s="39" t="s">
        <v>2127</v>
      </c>
      <c r="H197" s="41">
        <v>289500000000</v>
      </c>
      <c r="I197" s="42">
        <v>28.8</v>
      </c>
      <c r="J197" s="43">
        <v>44048</v>
      </c>
      <c r="K197" s="43">
        <v>44895</v>
      </c>
      <c r="L197" s="77" t="s">
        <v>2631</v>
      </c>
    </row>
    <row r="198" spans="1:12" ht="17.399999999999999" x14ac:dyDescent="0.4">
      <c r="A198" s="37">
        <f t="shared" ref="A198:A261" si="3">A197+1</f>
        <v>193</v>
      </c>
      <c r="B198" s="38" t="s">
        <v>2385</v>
      </c>
      <c r="C198" s="37"/>
      <c r="D198" s="37" t="s">
        <v>2710</v>
      </c>
      <c r="E198" s="39"/>
      <c r="F198" s="39" t="s">
        <v>2714</v>
      </c>
      <c r="G198" s="39" t="s">
        <v>2388</v>
      </c>
      <c r="H198" s="41">
        <v>50551455240</v>
      </c>
      <c r="I198" s="42">
        <v>18.12</v>
      </c>
      <c r="J198" s="43">
        <v>43934</v>
      </c>
      <c r="K198" s="43">
        <v>44895</v>
      </c>
      <c r="L198" s="74" t="s">
        <v>2715</v>
      </c>
    </row>
    <row r="199" spans="1:12" ht="17.399999999999999" x14ac:dyDescent="0.4">
      <c r="A199" s="37">
        <f t="shared" si="3"/>
        <v>194</v>
      </c>
      <c r="B199" s="38" t="s">
        <v>2219</v>
      </c>
      <c r="C199" s="37"/>
      <c r="D199" s="72">
        <v>44447</v>
      </c>
      <c r="E199" s="39"/>
      <c r="F199" s="40" t="s">
        <v>2220</v>
      </c>
      <c r="G199" s="40" t="s">
        <v>2916</v>
      </c>
      <c r="H199" s="45">
        <v>17630000000</v>
      </c>
      <c r="I199" s="42">
        <v>7.2</v>
      </c>
      <c r="J199" s="44">
        <v>44447</v>
      </c>
      <c r="K199" s="43">
        <v>44895</v>
      </c>
      <c r="L199" s="57" t="s">
        <v>2222</v>
      </c>
    </row>
    <row r="200" spans="1:12" ht="17.399999999999999" x14ac:dyDescent="0.4">
      <c r="A200" s="37">
        <f t="shared" si="3"/>
        <v>195</v>
      </c>
      <c r="B200" s="38" t="s">
        <v>81</v>
      </c>
      <c r="C200" s="37" t="s">
        <v>1848</v>
      </c>
      <c r="D200" s="37" t="s">
        <v>1849</v>
      </c>
      <c r="E200" s="40"/>
      <c r="F200" s="39" t="s">
        <v>937</v>
      </c>
      <c r="G200" s="39" t="s">
        <v>1850</v>
      </c>
      <c r="H200" s="41">
        <v>107100000000</v>
      </c>
      <c r="I200" s="42">
        <v>29.5</v>
      </c>
      <c r="J200" s="43">
        <v>44582</v>
      </c>
      <c r="K200" s="44">
        <v>44899</v>
      </c>
      <c r="L200" s="73" t="s">
        <v>1851</v>
      </c>
    </row>
    <row r="201" spans="1:12" ht="17.399999999999999" x14ac:dyDescent="0.4">
      <c r="A201" s="37">
        <f t="shared" si="3"/>
        <v>196</v>
      </c>
      <c r="B201" s="38" t="s">
        <v>1878</v>
      </c>
      <c r="C201" s="37"/>
      <c r="D201" s="37" t="s">
        <v>1875</v>
      </c>
      <c r="E201" s="39"/>
      <c r="F201" s="39" t="s">
        <v>1879</v>
      </c>
      <c r="G201" s="40" t="s">
        <v>1880</v>
      </c>
      <c r="H201" s="41">
        <v>1580000000</v>
      </c>
      <c r="I201" s="42">
        <v>5.7</v>
      </c>
      <c r="J201" s="43">
        <v>44755</v>
      </c>
      <c r="K201" s="43">
        <v>44908</v>
      </c>
      <c r="L201" s="57" t="s">
        <v>1881</v>
      </c>
    </row>
    <row r="202" spans="1:12" ht="17.399999999999999" x14ac:dyDescent="0.4">
      <c r="A202" s="37">
        <f t="shared" si="3"/>
        <v>197</v>
      </c>
      <c r="B202" s="38" t="s">
        <v>1614</v>
      </c>
      <c r="C202" s="37" t="s">
        <v>1615</v>
      </c>
      <c r="D202" s="37" t="s">
        <v>1616</v>
      </c>
      <c r="E202" s="39" t="s">
        <v>1617</v>
      </c>
      <c r="F202" s="39" t="s">
        <v>1618</v>
      </c>
      <c r="G202" s="39" t="s">
        <v>1619</v>
      </c>
      <c r="H202" s="41">
        <v>10482209091</v>
      </c>
      <c r="I202" s="42">
        <v>18.38</v>
      </c>
      <c r="J202" s="43">
        <v>44119</v>
      </c>
      <c r="K202" s="43">
        <v>44925</v>
      </c>
      <c r="L202" s="70" t="s">
        <v>1620</v>
      </c>
    </row>
    <row r="203" spans="1:12" ht="17.399999999999999" x14ac:dyDescent="0.4">
      <c r="A203" s="37">
        <f t="shared" si="3"/>
        <v>198</v>
      </c>
      <c r="B203" s="38" t="s">
        <v>1777</v>
      </c>
      <c r="C203" s="37" t="s">
        <v>1778</v>
      </c>
      <c r="D203" s="37" t="s">
        <v>1772</v>
      </c>
      <c r="E203" s="39" t="s">
        <v>1473</v>
      </c>
      <c r="F203" s="39" t="s">
        <v>491</v>
      </c>
      <c r="G203" s="39" t="s">
        <v>1779</v>
      </c>
      <c r="H203" s="41">
        <v>3050000000</v>
      </c>
      <c r="I203" s="42">
        <v>17.5</v>
      </c>
      <c r="J203" s="43">
        <v>44522</v>
      </c>
      <c r="K203" s="44">
        <v>44925</v>
      </c>
      <c r="L203" s="57" t="s">
        <v>1780</v>
      </c>
    </row>
    <row r="204" spans="1:12" ht="17.399999999999999" x14ac:dyDescent="0.4">
      <c r="A204" s="37">
        <f t="shared" si="3"/>
        <v>199</v>
      </c>
      <c r="B204" s="38" t="s">
        <v>1150</v>
      </c>
      <c r="C204" s="37" t="s">
        <v>1156</v>
      </c>
      <c r="D204" s="37" t="s">
        <v>1732</v>
      </c>
      <c r="E204" s="40"/>
      <c r="F204" s="39" t="s">
        <v>491</v>
      </c>
      <c r="G204" s="39" t="s">
        <v>1737</v>
      </c>
      <c r="H204" s="41">
        <v>15600000000</v>
      </c>
      <c r="I204" s="42">
        <v>13.2</v>
      </c>
      <c r="J204" s="43">
        <v>44588</v>
      </c>
      <c r="K204" s="44">
        <v>44926</v>
      </c>
      <c r="L204" s="57" t="s">
        <v>1738</v>
      </c>
    </row>
    <row r="205" spans="1:12" ht="17.399999999999999" x14ac:dyDescent="0.4">
      <c r="A205" s="37">
        <f t="shared" si="3"/>
        <v>200</v>
      </c>
      <c r="B205" s="38" t="s">
        <v>1834</v>
      </c>
      <c r="C205" s="37" t="s">
        <v>1835</v>
      </c>
      <c r="D205" s="37" t="s">
        <v>1831</v>
      </c>
      <c r="E205" s="39" t="s">
        <v>1836</v>
      </c>
      <c r="F205" s="39" t="s">
        <v>491</v>
      </c>
      <c r="G205" s="39" t="s">
        <v>1837</v>
      </c>
      <c r="H205" s="41">
        <v>4536350000</v>
      </c>
      <c r="I205" s="42">
        <v>14.3</v>
      </c>
      <c r="J205" s="43">
        <v>44333</v>
      </c>
      <c r="K205" s="43">
        <v>44926</v>
      </c>
      <c r="L205" s="70" t="s">
        <v>1838</v>
      </c>
    </row>
    <row r="206" spans="1:12" ht="17.399999999999999" x14ac:dyDescent="0.4">
      <c r="A206" s="37">
        <f t="shared" si="3"/>
        <v>201</v>
      </c>
      <c r="B206" s="38" t="s">
        <v>1969</v>
      </c>
      <c r="C206" s="37"/>
      <c r="D206" s="37" t="s">
        <v>867</v>
      </c>
      <c r="E206" s="39"/>
      <c r="F206" s="40" t="s">
        <v>1970</v>
      </c>
      <c r="G206" s="40" t="s">
        <v>1971</v>
      </c>
      <c r="H206" s="41">
        <v>11490000000</v>
      </c>
      <c r="I206" s="42">
        <v>22.67</v>
      </c>
      <c r="J206" s="43">
        <v>44676</v>
      </c>
      <c r="K206" s="44">
        <v>44926</v>
      </c>
      <c r="L206" s="70" t="s">
        <v>1972</v>
      </c>
    </row>
    <row r="207" spans="1:12" ht="17.399999999999999" x14ac:dyDescent="0.4">
      <c r="A207" s="37">
        <f t="shared" si="3"/>
        <v>202</v>
      </c>
      <c r="B207" s="38" t="s">
        <v>1765</v>
      </c>
      <c r="C207" s="37"/>
      <c r="D207" s="37" t="s">
        <v>1633</v>
      </c>
      <c r="E207" s="39"/>
      <c r="F207" s="39" t="s">
        <v>673</v>
      </c>
      <c r="G207" s="40" t="s">
        <v>1985</v>
      </c>
      <c r="H207" s="41">
        <v>7000000000</v>
      </c>
      <c r="I207" s="42">
        <v>5.33</v>
      </c>
      <c r="J207" s="43">
        <v>44659</v>
      </c>
      <c r="K207" s="43">
        <v>44926</v>
      </c>
      <c r="L207" s="70" t="s">
        <v>1986</v>
      </c>
    </row>
    <row r="208" spans="1:12" ht="17.399999999999999" x14ac:dyDescent="0.4">
      <c r="A208" s="37">
        <f t="shared" si="3"/>
        <v>203</v>
      </c>
      <c r="B208" s="38" t="s">
        <v>423</v>
      </c>
      <c r="C208" s="37"/>
      <c r="D208" s="37" t="s">
        <v>2058</v>
      </c>
      <c r="E208" s="40"/>
      <c r="F208" s="39" t="s">
        <v>1649</v>
      </c>
      <c r="G208" s="39" t="s">
        <v>2059</v>
      </c>
      <c r="H208" s="41">
        <v>1056100000000</v>
      </c>
      <c r="I208" s="42">
        <v>43.5</v>
      </c>
      <c r="J208" s="43">
        <v>44587</v>
      </c>
      <c r="K208" s="44">
        <v>44926</v>
      </c>
      <c r="L208" s="70" t="s">
        <v>2060</v>
      </c>
    </row>
    <row r="209" spans="1:12" ht="17.399999999999999" x14ac:dyDescent="0.4">
      <c r="A209" s="37">
        <f t="shared" si="3"/>
        <v>204</v>
      </c>
      <c r="B209" s="38" t="s">
        <v>2080</v>
      </c>
      <c r="C209" s="37"/>
      <c r="D209" s="37" t="s">
        <v>2081</v>
      </c>
      <c r="E209" s="40"/>
      <c r="F209" s="39" t="s">
        <v>2082</v>
      </c>
      <c r="G209" s="39" t="s">
        <v>2083</v>
      </c>
      <c r="H209" s="41">
        <v>20662295000</v>
      </c>
      <c r="I209" s="42">
        <v>20.5</v>
      </c>
      <c r="J209" s="43">
        <v>44580</v>
      </c>
      <c r="K209" s="44">
        <v>44926</v>
      </c>
      <c r="L209" s="57" t="s">
        <v>2084</v>
      </c>
    </row>
    <row r="210" spans="1:12" ht="17.399999999999999" x14ac:dyDescent="0.4">
      <c r="A210" s="37">
        <f t="shared" si="3"/>
        <v>205</v>
      </c>
      <c r="B210" s="38" t="s">
        <v>79</v>
      </c>
      <c r="C210" s="37"/>
      <c r="D210" s="37" t="s">
        <v>2124</v>
      </c>
      <c r="E210" s="39"/>
      <c r="F210" s="39" t="s">
        <v>1974</v>
      </c>
      <c r="G210" s="39" t="s">
        <v>2125</v>
      </c>
      <c r="H210" s="41">
        <v>110000000000</v>
      </c>
      <c r="I210" s="42">
        <v>17.25</v>
      </c>
      <c r="J210" s="43">
        <v>44543</v>
      </c>
      <c r="K210" s="43">
        <v>44926</v>
      </c>
      <c r="L210" s="57" t="s">
        <v>2126</v>
      </c>
    </row>
    <row r="211" spans="1:12" ht="26.4" x14ac:dyDescent="0.4">
      <c r="A211" s="37">
        <f t="shared" si="3"/>
        <v>206</v>
      </c>
      <c r="B211" s="38" t="s">
        <v>83</v>
      </c>
      <c r="C211" s="37"/>
      <c r="D211" s="37" t="s">
        <v>2142</v>
      </c>
      <c r="E211" s="39"/>
      <c r="F211" s="39" t="s">
        <v>1974</v>
      </c>
      <c r="G211" s="40" t="s">
        <v>2143</v>
      </c>
      <c r="H211" s="41">
        <v>200000000000</v>
      </c>
      <c r="I211" s="42">
        <v>35.299999999999997</v>
      </c>
      <c r="J211" s="43">
        <v>44523</v>
      </c>
      <c r="K211" s="44">
        <v>44926</v>
      </c>
      <c r="L211" s="57" t="s">
        <v>2144</v>
      </c>
    </row>
    <row r="212" spans="1:12" ht="26.4" x14ac:dyDescent="0.4">
      <c r="A212" s="37">
        <f t="shared" si="3"/>
        <v>207</v>
      </c>
      <c r="B212" s="38" t="s">
        <v>793</v>
      </c>
      <c r="C212" s="37"/>
      <c r="D212" s="37" t="s">
        <v>2169</v>
      </c>
      <c r="E212" s="39"/>
      <c r="F212" s="39" t="s">
        <v>491</v>
      </c>
      <c r="G212" s="40" t="s">
        <v>2170</v>
      </c>
      <c r="H212" s="41">
        <v>10000000000</v>
      </c>
      <c r="I212" s="42">
        <v>10.8</v>
      </c>
      <c r="J212" s="43">
        <v>44495</v>
      </c>
      <c r="K212" s="43">
        <v>44926</v>
      </c>
      <c r="L212" s="70" t="s">
        <v>2171</v>
      </c>
    </row>
    <row r="213" spans="1:12" ht="17.399999999999999" x14ac:dyDescent="0.4">
      <c r="A213" s="37">
        <f t="shared" si="3"/>
        <v>208</v>
      </c>
      <c r="B213" s="38" t="s">
        <v>2299</v>
      </c>
      <c r="C213" s="37"/>
      <c r="D213" s="37" t="s">
        <v>2300</v>
      </c>
      <c r="E213" s="38"/>
      <c r="F213" s="39" t="s">
        <v>2301</v>
      </c>
      <c r="G213" s="39" t="s">
        <v>2302</v>
      </c>
      <c r="H213" s="41">
        <v>15000000000</v>
      </c>
      <c r="I213" s="42">
        <v>13.41</v>
      </c>
      <c r="J213" s="43">
        <v>44389</v>
      </c>
      <c r="K213" s="43">
        <v>44926</v>
      </c>
      <c r="L213" s="70" t="s">
        <v>2303</v>
      </c>
    </row>
    <row r="214" spans="1:12" ht="17.399999999999999" x14ac:dyDescent="0.4">
      <c r="A214" s="37">
        <f t="shared" si="3"/>
        <v>209</v>
      </c>
      <c r="B214" s="38" t="s">
        <v>1821</v>
      </c>
      <c r="C214" s="37"/>
      <c r="D214" s="37" t="s">
        <v>2377</v>
      </c>
      <c r="E214" s="39"/>
      <c r="F214" s="39" t="s">
        <v>2382</v>
      </c>
      <c r="G214" s="39" t="s">
        <v>2383</v>
      </c>
      <c r="H214" s="41">
        <v>88000000000</v>
      </c>
      <c r="I214" s="42">
        <v>44.53</v>
      </c>
      <c r="J214" s="43">
        <v>44330</v>
      </c>
      <c r="K214" s="43">
        <v>44926</v>
      </c>
      <c r="L214" s="77" t="s">
        <v>2384</v>
      </c>
    </row>
    <row r="215" spans="1:12" ht="26.4" x14ac:dyDescent="0.4">
      <c r="A215" s="37">
        <f t="shared" si="3"/>
        <v>210</v>
      </c>
      <c r="B215" s="38" t="s">
        <v>434</v>
      </c>
      <c r="C215" s="37"/>
      <c r="D215" s="37" t="s">
        <v>2545</v>
      </c>
      <c r="E215" s="39"/>
      <c r="F215" s="39" t="s">
        <v>2546</v>
      </c>
      <c r="G215" s="40" t="s">
        <v>2547</v>
      </c>
      <c r="H215" s="41">
        <v>70000000000</v>
      </c>
      <c r="I215" s="42">
        <v>27.86</v>
      </c>
      <c r="J215" s="43">
        <v>44159</v>
      </c>
      <c r="K215" s="43">
        <v>44926</v>
      </c>
      <c r="L215" s="118" t="s">
        <v>2548</v>
      </c>
    </row>
    <row r="216" spans="1:12" ht="17.399999999999999" x14ac:dyDescent="0.4">
      <c r="A216" s="37">
        <f t="shared" si="3"/>
        <v>211</v>
      </c>
      <c r="B216" s="38" t="s">
        <v>2576</v>
      </c>
      <c r="C216" s="37"/>
      <c r="D216" s="37" t="s">
        <v>2577</v>
      </c>
      <c r="E216" s="39"/>
      <c r="F216" s="39" t="s">
        <v>2578</v>
      </c>
      <c r="G216" s="39" t="s">
        <v>2579</v>
      </c>
      <c r="H216" s="41">
        <v>22120000000</v>
      </c>
      <c r="I216" s="42">
        <v>20.53</v>
      </c>
      <c r="J216" s="43">
        <v>44116</v>
      </c>
      <c r="K216" s="43">
        <v>44926</v>
      </c>
      <c r="L216" s="74" t="s">
        <v>2580</v>
      </c>
    </row>
    <row r="217" spans="1:12" ht="17.399999999999999" x14ac:dyDescent="0.4">
      <c r="A217" s="37">
        <f t="shared" si="3"/>
        <v>212</v>
      </c>
      <c r="B217" s="38" t="s">
        <v>2757</v>
      </c>
      <c r="C217" s="37" t="s">
        <v>2758</v>
      </c>
      <c r="D217" s="37" t="s">
        <v>2753</v>
      </c>
      <c r="E217" s="39" t="s">
        <v>2759</v>
      </c>
      <c r="F217" s="39" t="s">
        <v>2760</v>
      </c>
      <c r="G217" s="39" t="s">
        <v>2761</v>
      </c>
      <c r="H217" s="41">
        <v>650000000000</v>
      </c>
      <c r="I217" s="42">
        <v>10.9</v>
      </c>
      <c r="J217" s="43">
        <v>42913</v>
      </c>
      <c r="K217" s="43">
        <v>44926</v>
      </c>
      <c r="L217" s="74" t="s">
        <v>2762</v>
      </c>
    </row>
    <row r="218" spans="1:12" ht="17.399999999999999" x14ac:dyDescent="0.4">
      <c r="A218" s="37">
        <f t="shared" si="3"/>
        <v>213</v>
      </c>
      <c r="B218" s="38" t="s">
        <v>1844</v>
      </c>
      <c r="C218" s="37"/>
      <c r="D218" s="37" t="s">
        <v>1845</v>
      </c>
      <c r="E218" s="39"/>
      <c r="F218" s="39" t="s">
        <v>491</v>
      </c>
      <c r="G218" s="40" t="s">
        <v>1846</v>
      </c>
      <c r="H218" s="41">
        <v>3739000000</v>
      </c>
      <c r="I218" s="42">
        <v>8.68</v>
      </c>
      <c r="J218" s="43">
        <v>44771</v>
      </c>
      <c r="K218" s="43">
        <v>44955</v>
      </c>
      <c r="L218" s="57" t="s">
        <v>1847</v>
      </c>
    </row>
    <row r="219" spans="1:12" ht="17.399999999999999" x14ac:dyDescent="0.4">
      <c r="A219" s="37">
        <f t="shared" si="3"/>
        <v>214</v>
      </c>
      <c r="B219" s="38" t="s">
        <v>1600</v>
      </c>
      <c r="C219" s="37" t="s">
        <v>1601</v>
      </c>
      <c r="D219" s="37" t="s">
        <v>1469</v>
      </c>
      <c r="E219" s="39" t="s">
        <v>1554</v>
      </c>
      <c r="F219" s="39" t="s">
        <v>1602</v>
      </c>
      <c r="G219" s="39" t="s">
        <v>1603</v>
      </c>
      <c r="H219" s="41">
        <v>40470337438</v>
      </c>
      <c r="I219" s="42">
        <v>48.15</v>
      </c>
      <c r="J219" s="43">
        <v>44095</v>
      </c>
      <c r="K219" s="43">
        <v>44957</v>
      </c>
      <c r="L219" s="70" t="s">
        <v>1604</v>
      </c>
    </row>
    <row r="220" spans="1:12" ht="17.399999999999999" x14ac:dyDescent="0.4">
      <c r="A220" s="37">
        <f t="shared" si="3"/>
        <v>215</v>
      </c>
      <c r="B220" s="38" t="s">
        <v>1643</v>
      </c>
      <c r="C220" s="37" t="s">
        <v>1644</v>
      </c>
      <c r="D220" s="37" t="s">
        <v>1645</v>
      </c>
      <c r="E220" s="38" t="s">
        <v>1646</v>
      </c>
      <c r="F220" s="39" t="s">
        <v>1404</v>
      </c>
      <c r="G220" s="40" t="s">
        <v>1647</v>
      </c>
      <c r="H220" s="41">
        <v>6550000000</v>
      </c>
      <c r="I220" s="42">
        <v>17.61</v>
      </c>
      <c r="J220" s="43">
        <v>44624</v>
      </c>
      <c r="K220" s="43">
        <v>44957</v>
      </c>
      <c r="L220" s="70" t="s">
        <v>1648</v>
      </c>
    </row>
    <row r="221" spans="1:12" ht="17.399999999999999" x14ac:dyDescent="0.4">
      <c r="A221" s="37">
        <f t="shared" si="3"/>
        <v>216</v>
      </c>
      <c r="B221" s="38" t="s">
        <v>2176</v>
      </c>
      <c r="C221" s="37" t="s">
        <v>2177</v>
      </c>
      <c r="D221" s="37" t="s">
        <v>2178</v>
      </c>
      <c r="E221" s="39" t="s">
        <v>2179</v>
      </c>
      <c r="F221" s="40" t="s">
        <v>2180</v>
      </c>
      <c r="G221" s="40" t="s">
        <v>2181</v>
      </c>
      <c r="H221" s="45">
        <v>135300903000</v>
      </c>
      <c r="I221" s="42">
        <v>46.33</v>
      </c>
      <c r="J221" s="43">
        <v>44433</v>
      </c>
      <c r="K221" s="43">
        <v>44957</v>
      </c>
      <c r="L221" s="73" t="s">
        <v>2182</v>
      </c>
    </row>
    <row r="222" spans="1:12" ht="17.399999999999999" x14ac:dyDescent="0.4">
      <c r="A222" s="37">
        <f t="shared" si="3"/>
        <v>217</v>
      </c>
      <c r="B222" s="38" t="s">
        <v>1447</v>
      </c>
      <c r="C222" s="37"/>
      <c r="D222" s="37" t="s">
        <v>2368</v>
      </c>
      <c r="E222" s="39"/>
      <c r="F222" s="39" t="s">
        <v>2369</v>
      </c>
      <c r="G222" s="39" t="s">
        <v>2370</v>
      </c>
      <c r="H222" s="41">
        <v>134000000000</v>
      </c>
      <c r="I222" s="42">
        <v>28.7</v>
      </c>
      <c r="J222" s="43">
        <v>44341</v>
      </c>
      <c r="K222" s="43">
        <v>44957</v>
      </c>
      <c r="L222" s="118" t="s">
        <v>2371</v>
      </c>
    </row>
    <row r="223" spans="1:12" ht="17.399999999999999" x14ac:dyDescent="0.4">
      <c r="A223" s="37">
        <f t="shared" si="3"/>
        <v>218</v>
      </c>
      <c r="B223" s="38" t="s">
        <v>1557</v>
      </c>
      <c r="C223" s="37" t="s">
        <v>2035</v>
      </c>
      <c r="D223" s="37" t="s">
        <v>2036</v>
      </c>
      <c r="E223" s="38" t="s">
        <v>2037</v>
      </c>
      <c r="F223" s="39" t="s">
        <v>2038</v>
      </c>
      <c r="G223" s="39" t="s">
        <v>2039</v>
      </c>
      <c r="H223" s="41">
        <v>271100000000</v>
      </c>
      <c r="I223" s="42">
        <v>32.4</v>
      </c>
      <c r="J223" s="43">
        <v>43780</v>
      </c>
      <c r="K223" s="43">
        <v>44982</v>
      </c>
      <c r="L223" s="73" t="s">
        <v>2040</v>
      </c>
    </row>
    <row r="224" spans="1:12" ht="17.399999999999999" x14ac:dyDescent="0.4">
      <c r="A224" s="37">
        <f t="shared" si="3"/>
        <v>219</v>
      </c>
      <c r="B224" s="38" t="s">
        <v>1621</v>
      </c>
      <c r="C224" s="37" t="s">
        <v>1622</v>
      </c>
      <c r="D224" s="37" t="s">
        <v>1616</v>
      </c>
      <c r="E224" s="38" t="s">
        <v>1623</v>
      </c>
      <c r="F224" s="39" t="s">
        <v>1624</v>
      </c>
      <c r="G224" s="40" t="s">
        <v>1625</v>
      </c>
      <c r="H224" s="41">
        <v>85000000000</v>
      </c>
      <c r="I224" s="42">
        <v>13.66</v>
      </c>
      <c r="J224" s="43">
        <v>44419</v>
      </c>
      <c r="K224" s="43">
        <v>44985</v>
      </c>
      <c r="L224" s="57" t="s">
        <v>1626</v>
      </c>
    </row>
    <row r="225" spans="1:12" ht="17.399999999999999" x14ac:dyDescent="0.4">
      <c r="A225" s="37">
        <f t="shared" si="3"/>
        <v>220</v>
      </c>
      <c r="B225" s="38" t="s">
        <v>1632</v>
      </c>
      <c r="C225" s="37" t="s">
        <v>1633</v>
      </c>
      <c r="D225" s="37" t="s">
        <v>1033</v>
      </c>
      <c r="E225" s="39" t="s">
        <v>1071</v>
      </c>
      <c r="F225" s="39" t="s">
        <v>1634</v>
      </c>
      <c r="G225" s="40" t="s">
        <v>1635</v>
      </c>
      <c r="H225" s="41">
        <v>6398000000</v>
      </c>
      <c r="I225" s="42">
        <v>6.07</v>
      </c>
      <c r="J225" s="43">
        <v>44658</v>
      </c>
      <c r="K225" s="43">
        <v>44985</v>
      </c>
      <c r="L225" s="57" t="s">
        <v>1636</v>
      </c>
    </row>
    <row r="226" spans="1:12" ht="17.399999999999999" x14ac:dyDescent="0.4">
      <c r="A226" s="37">
        <f t="shared" si="3"/>
        <v>221</v>
      </c>
      <c r="B226" s="38" t="s">
        <v>1651</v>
      </c>
      <c r="C226" s="37" t="s">
        <v>1652</v>
      </c>
      <c r="D226" s="37" t="s">
        <v>1653</v>
      </c>
      <c r="E226" s="55"/>
      <c r="F226" s="39" t="s">
        <v>1654</v>
      </c>
      <c r="G226" s="55" t="s">
        <v>1654</v>
      </c>
      <c r="H226" s="41">
        <v>10000000000</v>
      </c>
      <c r="I226" s="42">
        <v>16.420000000000002</v>
      </c>
      <c r="J226" s="43">
        <v>44713</v>
      </c>
      <c r="K226" s="43">
        <v>44985</v>
      </c>
      <c r="L226" s="57" t="s">
        <v>1655</v>
      </c>
    </row>
    <row r="227" spans="1:12" ht="17.399999999999999" x14ac:dyDescent="0.4">
      <c r="A227" s="37">
        <f t="shared" si="3"/>
        <v>222</v>
      </c>
      <c r="B227" s="38" t="s">
        <v>1686</v>
      </c>
      <c r="C227" s="37" t="s">
        <v>1687</v>
      </c>
      <c r="D227" s="37" t="s">
        <v>1688</v>
      </c>
      <c r="E227" s="40"/>
      <c r="F227" s="39" t="s">
        <v>1689</v>
      </c>
      <c r="G227" s="40" t="s">
        <v>1690</v>
      </c>
      <c r="H227" s="41">
        <v>15316000000</v>
      </c>
      <c r="I227" s="42">
        <v>31.24</v>
      </c>
      <c r="J227" s="43">
        <v>44384</v>
      </c>
      <c r="K227" s="44">
        <v>44985</v>
      </c>
      <c r="L227" s="57" t="s">
        <v>1691</v>
      </c>
    </row>
    <row r="228" spans="1:12" ht="17.399999999999999" x14ac:dyDescent="0.4">
      <c r="A228" s="37">
        <f t="shared" si="3"/>
        <v>223</v>
      </c>
      <c r="B228" s="38" t="s">
        <v>1863</v>
      </c>
      <c r="C228" s="37" t="s">
        <v>1864</v>
      </c>
      <c r="D228" s="37" t="s">
        <v>1865</v>
      </c>
      <c r="E228" s="39"/>
      <c r="F228" s="39" t="s">
        <v>1866</v>
      </c>
      <c r="G228" s="39" t="s">
        <v>1867</v>
      </c>
      <c r="H228" s="41">
        <v>26939390000</v>
      </c>
      <c r="I228" s="42">
        <v>33.299999999999997</v>
      </c>
      <c r="J228" s="43">
        <v>44370</v>
      </c>
      <c r="K228" s="43">
        <v>44985</v>
      </c>
      <c r="L228" s="70" t="s">
        <v>1868</v>
      </c>
    </row>
    <row r="229" spans="1:12" ht="17.399999999999999" x14ac:dyDescent="0.4">
      <c r="A229" s="37">
        <f t="shared" si="3"/>
        <v>224</v>
      </c>
      <c r="B229" s="38" t="s">
        <v>2385</v>
      </c>
      <c r="C229" s="37"/>
      <c r="D229" s="37" t="s">
        <v>2386</v>
      </c>
      <c r="E229" s="39"/>
      <c r="F229" s="39" t="s">
        <v>2387</v>
      </c>
      <c r="G229" s="39" t="s">
        <v>2388</v>
      </c>
      <c r="H229" s="41">
        <v>183887289600</v>
      </c>
      <c r="I229" s="42">
        <v>68.400000000000006</v>
      </c>
      <c r="J229" s="43">
        <v>44329</v>
      </c>
      <c r="K229" s="43">
        <v>44985</v>
      </c>
      <c r="L229" s="74" t="s">
        <v>2389</v>
      </c>
    </row>
    <row r="230" spans="1:12" ht="17.399999999999999" x14ac:dyDescent="0.4">
      <c r="A230" s="37">
        <f t="shared" si="3"/>
        <v>225</v>
      </c>
      <c r="B230" s="38" t="s">
        <v>147</v>
      </c>
      <c r="C230" s="37" t="s">
        <v>1552</v>
      </c>
      <c r="D230" s="37" t="s">
        <v>1553</v>
      </c>
      <c r="E230" s="39" t="s">
        <v>1554</v>
      </c>
      <c r="F230" s="39" t="s">
        <v>523</v>
      </c>
      <c r="G230" s="39" t="s">
        <v>1555</v>
      </c>
      <c r="H230" s="41">
        <v>40676827057</v>
      </c>
      <c r="I230" s="42">
        <v>25.21</v>
      </c>
      <c r="J230" s="43">
        <v>44229</v>
      </c>
      <c r="K230" s="43">
        <v>45009</v>
      </c>
      <c r="L230" s="57" t="s">
        <v>1556</v>
      </c>
    </row>
    <row r="231" spans="1:12" ht="17.399999999999999" x14ac:dyDescent="0.4">
      <c r="A231" s="37">
        <f t="shared" si="3"/>
        <v>226</v>
      </c>
      <c r="B231" s="38" t="s">
        <v>513</v>
      </c>
      <c r="C231" s="37" t="s">
        <v>1256</v>
      </c>
      <c r="D231" s="37" t="s">
        <v>1504</v>
      </c>
      <c r="E231" s="39" t="s">
        <v>1505</v>
      </c>
      <c r="F231" s="39" t="s">
        <v>1506</v>
      </c>
      <c r="G231" s="40" t="s">
        <v>1507</v>
      </c>
      <c r="H231" s="41">
        <v>3359694955</v>
      </c>
      <c r="I231" s="42">
        <v>11.24</v>
      </c>
      <c r="J231" s="43">
        <v>44774</v>
      </c>
      <c r="K231" s="43">
        <v>45016</v>
      </c>
      <c r="L231" s="57" t="s">
        <v>1508</v>
      </c>
    </row>
    <row r="232" spans="1:12" ht="17.399999999999999" x14ac:dyDescent="0.4">
      <c r="A232" s="37">
        <f t="shared" si="3"/>
        <v>227</v>
      </c>
      <c r="B232" s="38" t="s">
        <v>1977</v>
      </c>
      <c r="C232" s="37"/>
      <c r="D232" s="37" t="s">
        <v>1320</v>
      </c>
      <c r="E232" s="39"/>
      <c r="F232" s="39" t="s">
        <v>491</v>
      </c>
      <c r="G232" s="40" t="s">
        <v>1978</v>
      </c>
      <c r="H232" s="41">
        <v>191000000000</v>
      </c>
      <c r="I232" s="42">
        <v>63.9</v>
      </c>
      <c r="J232" s="43">
        <v>44664</v>
      </c>
      <c r="K232" s="43">
        <v>45016</v>
      </c>
      <c r="L232" s="71" t="s">
        <v>1979</v>
      </c>
    </row>
    <row r="233" spans="1:12" ht="26.4" x14ac:dyDescent="0.4">
      <c r="A233" s="37">
        <f t="shared" si="3"/>
        <v>228</v>
      </c>
      <c r="B233" s="38" t="s">
        <v>1247</v>
      </c>
      <c r="C233" s="37"/>
      <c r="D233" s="37" t="s">
        <v>1830</v>
      </c>
      <c r="E233" s="38"/>
      <c r="F233" s="40" t="s">
        <v>2026</v>
      </c>
      <c r="G233" s="40" t="s">
        <v>2027</v>
      </c>
      <c r="H233" s="41">
        <v>46949843480</v>
      </c>
      <c r="I233" s="42">
        <v>12.32</v>
      </c>
      <c r="J233" s="43">
        <v>44622</v>
      </c>
      <c r="K233" s="43">
        <v>45018</v>
      </c>
      <c r="L233" s="57" t="s">
        <v>2028</v>
      </c>
    </row>
    <row r="234" spans="1:12" ht="17.399999999999999" x14ac:dyDescent="0.4">
      <c r="A234" s="37">
        <f t="shared" si="3"/>
        <v>229</v>
      </c>
      <c r="B234" s="38" t="s">
        <v>1707</v>
      </c>
      <c r="C234" s="37"/>
      <c r="D234" s="37" t="s">
        <v>2479</v>
      </c>
      <c r="E234" s="39"/>
      <c r="F234" s="39" t="s">
        <v>2480</v>
      </c>
      <c r="G234" s="39" t="s">
        <v>2481</v>
      </c>
      <c r="H234" s="41">
        <v>140500000000</v>
      </c>
      <c r="I234" s="42">
        <v>7.9</v>
      </c>
      <c r="J234" s="43">
        <v>44221</v>
      </c>
      <c r="K234" s="43">
        <v>45036</v>
      </c>
      <c r="L234" s="82" t="s">
        <v>2482</v>
      </c>
    </row>
    <row r="235" spans="1:12" ht="17.399999999999999" x14ac:dyDescent="0.4">
      <c r="A235" s="37">
        <f t="shared" si="3"/>
        <v>230</v>
      </c>
      <c r="B235" s="38" t="s">
        <v>1509</v>
      </c>
      <c r="C235" s="37" t="s">
        <v>1510</v>
      </c>
      <c r="D235" s="37" t="s">
        <v>794</v>
      </c>
      <c r="E235" s="40" t="s">
        <v>1364</v>
      </c>
      <c r="F235" s="40" t="s">
        <v>1511</v>
      </c>
      <c r="G235" s="40" t="s">
        <v>1512</v>
      </c>
      <c r="H235" s="41">
        <v>20922643017</v>
      </c>
      <c r="I235" s="42">
        <v>20</v>
      </c>
      <c r="J235" s="43">
        <v>44824</v>
      </c>
      <c r="K235" s="43">
        <v>45046</v>
      </c>
      <c r="L235" s="57" t="s">
        <v>1513</v>
      </c>
    </row>
    <row r="236" spans="1:12" ht="17.399999999999999" x14ac:dyDescent="0.4">
      <c r="A236" s="37">
        <f t="shared" si="3"/>
        <v>231</v>
      </c>
      <c r="B236" s="38" t="s">
        <v>1627</v>
      </c>
      <c r="C236" s="37" t="s">
        <v>724</v>
      </c>
      <c r="D236" s="37" t="s">
        <v>1616</v>
      </c>
      <c r="E236" s="39" t="s">
        <v>1628</v>
      </c>
      <c r="F236" s="39" t="s">
        <v>1629</v>
      </c>
      <c r="G236" s="39" t="s">
        <v>1630</v>
      </c>
      <c r="H236" s="41">
        <v>27000000000</v>
      </c>
      <c r="I236" s="42">
        <v>59.02</v>
      </c>
      <c r="J236" s="43">
        <v>44376</v>
      </c>
      <c r="K236" s="43">
        <v>45046</v>
      </c>
      <c r="L236" s="68" t="s">
        <v>1631</v>
      </c>
    </row>
    <row r="237" spans="1:12" ht="17.399999999999999" x14ac:dyDescent="0.4">
      <c r="A237" s="37">
        <f t="shared" si="3"/>
        <v>232</v>
      </c>
      <c r="B237" s="38" t="s">
        <v>1852</v>
      </c>
      <c r="C237" s="37" t="s">
        <v>1853</v>
      </c>
      <c r="D237" s="37" t="s">
        <v>1488</v>
      </c>
      <c r="E237" s="39"/>
      <c r="F237" s="39" t="s">
        <v>937</v>
      </c>
      <c r="G237" s="39" t="s">
        <v>1854</v>
      </c>
      <c r="H237" s="41">
        <v>28800000000</v>
      </c>
      <c r="I237" s="42">
        <v>16.8</v>
      </c>
      <c r="J237" s="43">
        <v>44666</v>
      </c>
      <c r="K237" s="44">
        <v>45046</v>
      </c>
      <c r="L237" s="57" t="s">
        <v>1855</v>
      </c>
    </row>
    <row r="238" spans="1:12" ht="17.399999999999999" x14ac:dyDescent="0.4">
      <c r="A238" s="37">
        <f t="shared" si="3"/>
        <v>233</v>
      </c>
      <c r="B238" s="38" t="s">
        <v>1839</v>
      </c>
      <c r="C238" s="37"/>
      <c r="D238" s="37" t="s">
        <v>2070</v>
      </c>
      <c r="E238" s="40"/>
      <c r="F238" s="39" t="s">
        <v>491</v>
      </c>
      <c r="G238" s="39" t="s">
        <v>2075</v>
      </c>
      <c r="H238" s="41">
        <v>17900000000</v>
      </c>
      <c r="I238" s="42">
        <v>10.88</v>
      </c>
      <c r="J238" s="43">
        <v>44585</v>
      </c>
      <c r="K238" s="44">
        <v>45046</v>
      </c>
      <c r="L238" s="57" t="s">
        <v>2076</v>
      </c>
    </row>
    <row r="239" spans="1:12" ht="17.399999999999999" x14ac:dyDescent="0.4">
      <c r="A239" s="37">
        <f t="shared" si="3"/>
        <v>234</v>
      </c>
      <c r="B239" s="38" t="s">
        <v>1825</v>
      </c>
      <c r="C239" s="37"/>
      <c r="D239" s="37" t="s">
        <v>2515</v>
      </c>
      <c r="E239" s="39"/>
      <c r="F239" s="39" t="s">
        <v>2516</v>
      </c>
      <c r="G239" s="39" t="s">
        <v>1828</v>
      </c>
      <c r="H239" s="41">
        <v>204037600000</v>
      </c>
      <c r="I239" s="42">
        <v>7.04</v>
      </c>
      <c r="J239" s="43">
        <v>44201</v>
      </c>
      <c r="K239" s="43">
        <v>45046</v>
      </c>
      <c r="L239" s="74" t="s">
        <v>2517</v>
      </c>
    </row>
    <row r="240" spans="1:12" ht="17.399999999999999" x14ac:dyDescent="0.4">
      <c r="A240" s="37">
        <f t="shared" si="3"/>
        <v>235</v>
      </c>
      <c r="B240" s="38" t="s">
        <v>2259</v>
      </c>
      <c r="C240" s="37"/>
      <c r="D240" s="37" t="s">
        <v>2877</v>
      </c>
      <c r="E240" s="39"/>
      <c r="F240" s="39" t="s">
        <v>2878</v>
      </c>
      <c r="G240" s="39" t="s">
        <v>2262</v>
      </c>
      <c r="H240" s="41">
        <v>150000000000</v>
      </c>
      <c r="I240" s="42">
        <v>22.5</v>
      </c>
      <c r="J240" s="43">
        <v>43752</v>
      </c>
      <c r="K240" s="43">
        <v>45046</v>
      </c>
      <c r="L240" s="74" t="s">
        <v>2879</v>
      </c>
    </row>
    <row r="241" spans="1:12" ht="17.399999999999999" x14ac:dyDescent="0.4">
      <c r="A241" s="37">
        <f t="shared" si="3"/>
        <v>236</v>
      </c>
      <c r="B241" s="38" t="s">
        <v>1468</v>
      </c>
      <c r="C241" s="37" t="s">
        <v>1469</v>
      </c>
      <c r="D241" s="37" t="s">
        <v>1412</v>
      </c>
      <c r="E241" s="39" t="s">
        <v>1470</v>
      </c>
      <c r="F241" s="39" t="s">
        <v>937</v>
      </c>
      <c r="G241" s="39" t="s">
        <v>1471</v>
      </c>
      <c r="H241" s="41">
        <v>11540000000</v>
      </c>
      <c r="I241" s="42">
        <v>27.67</v>
      </c>
      <c r="J241" s="43">
        <v>44656</v>
      </c>
      <c r="K241" s="43">
        <v>45065</v>
      </c>
      <c r="L241" s="70" t="s">
        <v>1472</v>
      </c>
    </row>
    <row r="242" spans="1:12" ht="17.399999999999999" x14ac:dyDescent="0.4">
      <c r="A242" s="37">
        <f t="shared" si="3"/>
        <v>237</v>
      </c>
      <c r="B242" s="38" t="s">
        <v>1384</v>
      </c>
      <c r="C242" s="37"/>
      <c r="D242" s="37" t="s">
        <v>1451</v>
      </c>
      <c r="E242" s="40"/>
      <c r="F242" s="39" t="s">
        <v>1386</v>
      </c>
      <c r="G242" s="39" t="s">
        <v>1387</v>
      </c>
      <c r="H242" s="41">
        <v>10904000000</v>
      </c>
      <c r="I242" s="42">
        <v>12.95</v>
      </c>
      <c r="J242" s="43">
        <v>45064</v>
      </c>
      <c r="K242" s="43">
        <v>45077</v>
      </c>
      <c r="L242" s="57" t="s">
        <v>1452</v>
      </c>
    </row>
    <row r="243" spans="1:12" ht="17.399999999999999" x14ac:dyDescent="0.4">
      <c r="A243" s="37">
        <f t="shared" si="3"/>
        <v>238</v>
      </c>
      <c r="B243" s="38" t="s">
        <v>229</v>
      </c>
      <c r="C243" s="37" t="s">
        <v>1514</v>
      </c>
      <c r="D243" s="37" t="s">
        <v>794</v>
      </c>
      <c r="E243" s="40" t="s">
        <v>1515</v>
      </c>
      <c r="F243" s="39" t="s">
        <v>1516</v>
      </c>
      <c r="G243" s="39" t="s">
        <v>1517</v>
      </c>
      <c r="H243" s="41">
        <v>10850000000</v>
      </c>
      <c r="I243" s="42">
        <v>8.0299999999999994</v>
      </c>
      <c r="J243" s="43">
        <v>44712</v>
      </c>
      <c r="K243" s="43">
        <v>45077</v>
      </c>
      <c r="L243" s="70" t="s">
        <v>1494</v>
      </c>
    </row>
    <row r="244" spans="1:12" ht="17.399999999999999" x14ac:dyDescent="0.4">
      <c r="A244" s="37">
        <f t="shared" si="3"/>
        <v>239</v>
      </c>
      <c r="B244" s="38" t="s">
        <v>1518</v>
      </c>
      <c r="C244" s="37" t="s">
        <v>1033</v>
      </c>
      <c r="D244" s="37" t="s">
        <v>794</v>
      </c>
      <c r="E244" s="39" t="s">
        <v>1473</v>
      </c>
      <c r="F244" s="39" t="s">
        <v>1519</v>
      </c>
      <c r="G244" s="39" t="s">
        <v>1520</v>
      </c>
      <c r="H244" s="41">
        <v>27100000000</v>
      </c>
      <c r="I244" s="42">
        <v>58.56</v>
      </c>
      <c r="J244" s="43">
        <v>44746</v>
      </c>
      <c r="K244" s="43">
        <v>45077</v>
      </c>
      <c r="L244" s="57" t="s">
        <v>1521</v>
      </c>
    </row>
    <row r="245" spans="1:12" ht="17.399999999999999" x14ac:dyDescent="0.4">
      <c r="A245" s="37">
        <f t="shared" si="3"/>
        <v>240</v>
      </c>
      <c r="B245" s="38" t="s">
        <v>1672</v>
      </c>
      <c r="C245" s="37"/>
      <c r="D245" s="37" t="s">
        <v>1673</v>
      </c>
      <c r="E245" s="40"/>
      <c r="F245" s="39" t="s">
        <v>1674</v>
      </c>
      <c r="G245" s="40" t="s">
        <v>1675</v>
      </c>
      <c r="H245" s="41">
        <v>21726548852</v>
      </c>
      <c r="I245" s="42">
        <v>11.8</v>
      </c>
      <c r="J245" s="43">
        <v>44901</v>
      </c>
      <c r="K245" s="44">
        <v>45077</v>
      </c>
      <c r="L245" s="57" t="s">
        <v>1676</v>
      </c>
    </row>
    <row r="246" spans="1:12" ht="17.399999999999999" x14ac:dyDescent="0.4">
      <c r="A246" s="37">
        <f t="shared" si="3"/>
        <v>241</v>
      </c>
      <c r="B246" s="38" t="s">
        <v>799</v>
      </c>
      <c r="C246" s="37" t="s">
        <v>1396</v>
      </c>
      <c r="D246" s="37" t="s">
        <v>1397</v>
      </c>
      <c r="E246" s="40" t="s">
        <v>1398</v>
      </c>
      <c r="F246" s="39" t="s">
        <v>491</v>
      </c>
      <c r="G246" s="40" t="s">
        <v>1399</v>
      </c>
      <c r="H246" s="41">
        <v>28339676000</v>
      </c>
      <c r="I246" s="42">
        <v>21.48</v>
      </c>
      <c r="J246" s="43">
        <v>44952</v>
      </c>
      <c r="K246" s="44">
        <v>45079</v>
      </c>
      <c r="L246" s="57" t="s">
        <v>1400</v>
      </c>
    </row>
    <row r="247" spans="1:12" ht="17.399999999999999" x14ac:dyDescent="0.4">
      <c r="A247" s="37">
        <f t="shared" si="3"/>
        <v>242</v>
      </c>
      <c r="B247" s="38" t="s">
        <v>1411</v>
      </c>
      <c r="C247" s="37" t="s">
        <v>1412</v>
      </c>
      <c r="D247" s="37" t="s">
        <v>1413</v>
      </c>
      <c r="E247" s="39" t="s">
        <v>1414</v>
      </c>
      <c r="F247" s="39" t="s">
        <v>491</v>
      </c>
      <c r="G247" s="40" t="s">
        <v>1415</v>
      </c>
      <c r="H247" s="41">
        <v>6700000000</v>
      </c>
      <c r="I247" s="42">
        <v>16.11</v>
      </c>
      <c r="J247" s="43">
        <v>44795</v>
      </c>
      <c r="K247" s="43">
        <v>45085</v>
      </c>
      <c r="L247" s="57" t="s">
        <v>1416</v>
      </c>
    </row>
    <row r="248" spans="1:12" ht="17.399999999999999" x14ac:dyDescent="0.4">
      <c r="A248" s="37">
        <f t="shared" si="3"/>
        <v>243</v>
      </c>
      <c r="B248" s="38" t="s">
        <v>781</v>
      </c>
      <c r="C248" s="37" t="s">
        <v>1325</v>
      </c>
      <c r="D248" s="37" t="s">
        <v>1326</v>
      </c>
      <c r="E248" s="39" t="s">
        <v>1327</v>
      </c>
      <c r="F248" s="39" t="s">
        <v>1328</v>
      </c>
      <c r="G248" s="39" t="s">
        <v>1329</v>
      </c>
      <c r="H248" s="41">
        <v>729629597917</v>
      </c>
      <c r="I248" s="42">
        <v>9.67</v>
      </c>
      <c r="J248" s="43">
        <v>44743</v>
      </c>
      <c r="K248" s="43">
        <v>45103</v>
      </c>
      <c r="L248" s="57" t="s">
        <v>1330</v>
      </c>
    </row>
    <row r="249" spans="1:12" ht="17.399999999999999" x14ac:dyDescent="0.4">
      <c r="A249" s="37">
        <f t="shared" si="3"/>
        <v>244</v>
      </c>
      <c r="B249" s="38" t="s">
        <v>1359</v>
      </c>
      <c r="C249" s="37" t="s">
        <v>1181</v>
      </c>
      <c r="D249" s="37" t="s">
        <v>1265</v>
      </c>
      <c r="E249" s="40" t="s">
        <v>1360</v>
      </c>
      <c r="F249" s="39" t="s">
        <v>491</v>
      </c>
      <c r="G249" s="39" t="s">
        <v>1361</v>
      </c>
      <c r="H249" s="41">
        <v>52317743950</v>
      </c>
      <c r="I249" s="42">
        <v>33.11</v>
      </c>
      <c r="J249" s="43">
        <v>44580</v>
      </c>
      <c r="K249" s="44">
        <v>45107</v>
      </c>
      <c r="L249" s="68" t="s">
        <v>1362</v>
      </c>
    </row>
    <row r="250" spans="1:12" ht="26.4" x14ac:dyDescent="0.4">
      <c r="A250" s="37">
        <f t="shared" si="3"/>
        <v>245</v>
      </c>
      <c r="B250" s="38" t="s">
        <v>898</v>
      </c>
      <c r="C250" s="37" t="s">
        <v>1238</v>
      </c>
      <c r="D250" s="37" t="s">
        <v>1412</v>
      </c>
      <c r="E250" s="40" t="s">
        <v>1473</v>
      </c>
      <c r="F250" s="39" t="s">
        <v>1474</v>
      </c>
      <c r="G250" s="40" t="s">
        <v>1475</v>
      </c>
      <c r="H250" s="41">
        <v>15900000000</v>
      </c>
      <c r="I250" s="42">
        <v>5.25</v>
      </c>
      <c r="J250" s="43">
        <v>44733</v>
      </c>
      <c r="K250" s="43">
        <v>45107</v>
      </c>
      <c r="L250" s="66" t="s">
        <v>1476</v>
      </c>
    </row>
    <row r="251" spans="1:12" ht="39.6" x14ac:dyDescent="0.4">
      <c r="A251" s="37">
        <f t="shared" si="3"/>
        <v>246</v>
      </c>
      <c r="B251" s="38" t="s">
        <v>1637</v>
      </c>
      <c r="C251" s="37" t="s">
        <v>1638</v>
      </c>
      <c r="D251" s="37" t="s">
        <v>1033</v>
      </c>
      <c r="E251" s="39" t="s">
        <v>1639</v>
      </c>
      <c r="F251" s="39" t="s">
        <v>1640</v>
      </c>
      <c r="G251" s="40" t="s">
        <v>1641</v>
      </c>
      <c r="H251" s="41">
        <v>3700000000</v>
      </c>
      <c r="I251" s="42">
        <v>34.979999999999997</v>
      </c>
      <c r="J251" s="43">
        <v>43815</v>
      </c>
      <c r="K251" s="44">
        <v>45107</v>
      </c>
      <c r="L251" s="57" t="s">
        <v>1642</v>
      </c>
    </row>
    <row r="252" spans="1:12" ht="17.399999999999999" x14ac:dyDescent="0.4">
      <c r="A252" s="37">
        <f t="shared" si="3"/>
        <v>247</v>
      </c>
      <c r="B252" s="38" t="s">
        <v>1209</v>
      </c>
      <c r="C252" s="37" t="s">
        <v>1534</v>
      </c>
      <c r="D252" s="37" t="s">
        <v>1656</v>
      </c>
      <c r="E252" s="39" t="s">
        <v>1657</v>
      </c>
      <c r="F252" s="39" t="s">
        <v>1618</v>
      </c>
      <c r="G252" s="39" t="s">
        <v>1658</v>
      </c>
      <c r="H252" s="41">
        <v>50000000000</v>
      </c>
      <c r="I252" s="42">
        <v>15.77</v>
      </c>
      <c r="J252" s="43">
        <v>44378</v>
      </c>
      <c r="K252" s="43">
        <v>45107</v>
      </c>
      <c r="L252" s="68" t="s">
        <v>1659</v>
      </c>
    </row>
    <row r="253" spans="1:12" ht="17.399999999999999" x14ac:dyDescent="0.4">
      <c r="A253" s="37">
        <f t="shared" si="3"/>
        <v>248</v>
      </c>
      <c r="B253" s="38" t="s">
        <v>1697</v>
      </c>
      <c r="C253" s="37"/>
      <c r="D253" s="37" t="s">
        <v>1698</v>
      </c>
      <c r="E253" s="39"/>
      <c r="F253" s="39" t="s">
        <v>1699</v>
      </c>
      <c r="G253" s="39" t="s">
        <v>1700</v>
      </c>
      <c r="H253" s="41">
        <v>11322377770</v>
      </c>
      <c r="I253" s="42">
        <v>9.5399999999999991</v>
      </c>
      <c r="J253" s="43">
        <v>44890</v>
      </c>
      <c r="K253" s="43">
        <v>45107</v>
      </c>
      <c r="L253" s="57" t="s">
        <v>1701</v>
      </c>
    </row>
    <row r="254" spans="1:12" ht="17.399999999999999" x14ac:dyDescent="0.4">
      <c r="A254" s="37">
        <f t="shared" si="3"/>
        <v>249</v>
      </c>
      <c r="B254" s="38" t="s">
        <v>1702</v>
      </c>
      <c r="C254" s="37" t="s">
        <v>1703</v>
      </c>
      <c r="D254" s="37" t="s">
        <v>1704</v>
      </c>
      <c r="E254" s="39" t="s">
        <v>1364</v>
      </c>
      <c r="F254" s="39" t="s">
        <v>491</v>
      </c>
      <c r="G254" s="39" t="s">
        <v>1705</v>
      </c>
      <c r="H254" s="41">
        <v>63100000000</v>
      </c>
      <c r="I254" s="42">
        <v>36.25</v>
      </c>
      <c r="J254" s="43">
        <v>44537</v>
      </c>
      <c r="K254" s="43">
        <v>45107</v>
      </c>
      <c r="L254" s="70" t="s">
        <v>1706</v>
      </c>
    </row>
    <row r="255" spans="1:12" ht="26.4" x14ac:dyDescent="0.4">
      <c r="A255" s="37">
        <f t="shared" si="3"/>
        <v>250</v>
      </c>
      <c r="B255" s="38" t="s">
        <v>1922</v>
      </c>
      <c r="C255" s="37"/>
      <c r="D255" s="37" t="s">
        <v>1808</v>
      </c>
      <c r="E255" s="40"/>
      <c r="F255" s="40" t="s">
        <v>1923</v>
      </c>
      <c r="G255" s="55" t="s">
        <v>1924</v>
      </c>
      <c r="H255" s="41">
        <v>30400000000</v>
      </c>
      <c r="I255" s="42">
        <v>11.97</v>
      </c>
      <c r="J255" s="43">
        <v>44712</v>
      </c>
      <c r="K255" s="43">
        <v>45107</v>
      </c>
      <c r="L255" s="57" t="s">
        <v>1925</v>
      </c>
    </row>
    <row r="256" spans="1:12" ht="26.4" x14ac:dyDescent="0.4">
      <c r="A256" s="37">
        <f t="shared" si="3"/>
        <v>251</v>
      </c>
      <c r="B256" s="38" t="s">
        <v>1965</v>
      </c>
      <c r="C256" s="37"/>
      <c r="D256" s="37" t="s">
        <v>1960</v>
      </c>
      <c r="E256" s="39"/>
      <c r="F256" s="39" t="s">
        <v>1966</v>
      </c>
      <c r="G256" s="40" t="s">
        <v>1967</v>
      </c>
      <c r="H256" s="41">
        <v>8000000000</v>
      </c>
      <c r="I256" s="42">
        <v>19.34</v>
      </c>
      <c r="J256" s="43">
        <v>44679</v>
      </c>
      <c r="K256" s="44">
        <v>45107</v>
      </c>
      <c r="L256" s="71" t="s">
        <v>1968</v>
      </c>
    </row>
    <row r="257" spans="1:12" ht="17.399999999999999" x14ac:dyDescent="0.4">
      <c r="A257" s="37">
        <f t="shared" si="3"/>
        <v>252</v>
      </c>
      <c r="B257" s="38" t="s">
        <v>2259</v>
      </c>
      <c r="C257" s="37"/>
      <c r="D257" s="37" t="s">
        <v>2260</v>
      </c>
      <c r="E257" s="39"/>
      <c r="F257" s="40" t="s">
        <v>2261</v>
      </c>
      <c r="G257" s="40" t="s">
        <v>2262</v>
      </c>
      <c r="H257" s="45">
        <v>98700000000</v>
      </c>
      <c r="I257" s="42">
        <v>14.4</v>
      </c>
      <c r="J257" s="43">
        <v>44434</v>
      </c>
      <c r="K257" s="43">
        <v>45107</v>
      </c>
      <c r="L257" s="57" t="s">
        <v>2263</v>
      </c>
    </row>
    <row r="258" spans="1:12" ht="17.399999999999999" x14ac:dyDescent="0.4">
      <c r="A258" s="37">
        <f t="shared" si="3"/>
        <v>253</v>
      </c>
      <c r="B258" s="38" t="s">
        <v>1319</v>
      </c>
      <c r="C258" s="37" t="s">
        <v>1320</v>
      </c>
      <c r="D258" s="37" t="s">
        <v>1321</v>
      </c>
      <c r="E258" s="39" t="s">
        <v>784</v>
      </c>
      <c r="F258" s="39" t="s">
        <v>1322</v>
      </c>
      <c r="G258" s="39" t="s">
        <v>1323</v>
      </c>
      <c r="H258" s="41">
        <v>8967775645</v>
      </c>
      <c r="I258" s="42">
        <v>7.48</v>
      </c>
      <c r="J258" s="43">
        <v>44665</v>
      </c>
      <c r="K258" s="44">
        <v>45138</v>
      </c>
      <c r="L258" s="57" t="s">
        <v>1324</v>
      </c>
    </row>
    <row r="259" spans="1:12" ht="17.399999999999999" x14ac:dyDescent="0.4">
      <c r="A259" s="37">
        <f t="shared" si="3"/>
        <v>254</v>
      </c>
      <c r="B259" s="38" t="s">
        <v>487</v>
      </c>
      <c r="C259" s="37" t="s">
        <v>1589</v>
      </c>
      <c r="D259" s="37" t="s">
        <v>1589</v>
      </c>
      <c r="E259" s="40" t="s">
        <v>1590</v>
      </c>
      <c r="F259" s="39" t="s">
        <v>491</v>
      </c>
      <c r="G259" s="39" t="s">
        <v>1591</v>
      </c>
      <c r="H259" s="41">
        <v>4169393920</v>
      </c>
      <c r="I259" s="42">
        <v>20.37</v>
      </c>
      <c r="J259" s="43">
        <v>44477</v>
      </c>
      <c r="K259" s="43">
        <v>45138</v>
      </c>
      <c r="L259" s="57" t="s">
        <v>1592</v>
      </c>
    </row>
    <row r="260" spans="1:12" ht="17.399999999999999" x14ac:dyDescent="0.4">
      <c r="A260" s="37">
        <f t="shared" si="3"/>
        <v>255</v>
      </c>
      <c r="B260" s="38" t="s">
        <v>1299</v>
      </c>
      <c r="C260" s="37" t="s">
        <v>1300</v>
      </c>
      <c r="D260" s="37" t="s">
        <v>1301</v>
      </c>
      <c r="E260" s="40" t="s">
        <v>1302</v>
      </c>
      <c r="F260" s="39" t="s">
        <v>1303</v>
      </c>
      <c r="G260" s="39" t="s">
        <v>1304</v>
      </c>
      <c r="H260" s="41">
        <v>58000000000</v>
      </c>
      <c r="I260" s="42">
        <v>18.850000000000001</v>
      </c>
      <c r="J260" s="43">
        <v>44651</v>
      </c>
      <c r="K260" s="43">
        <v>45148</v>
      </c>
      <c r="L260" s="69" t="s">
        <v>1305</v>
      </c>
    </row>
    <row r="261" spans="1:12" ht="17.399999999999999" x14ac:dyDescent="0.4">
      <c r="A261" s="37">
        <f t="shared" si="3"/>
        <v>256</v>
      </c>
      <c r="B261" s="38" t="s">
        <v>2908</v>
      </c>
      <c r="C261" s="37"/>
      <c r="D261" s="37" t="s">
        <v>2909</v>
      </c>
      <c r="E261" s="40"/>
      <c r="F261" s="40" t="s">
        <v>673</v>
      </c>
      <c r="G261" s="40" t="s">
        <v>2910</v>
      </c>
      <c r="H261" s="41">
        <v>4610000000</v>
      </c>
      <c r="I261" s="42">
        <v>14.43</v>
      </c>
      <c r="J261" s="43">
        <v>44846</v>
      </c>
      <c r="K261" s="43">
        <v>45168</v>
      </c>
      <c r="L261" s="70" t="s">
        <v>2911</v>
      </c>
    </row>
    <row r="262" spans="1:12" ht="17.399999999999999" x14ac:dyDescent="0.4">
      <c r="A262" s="37">
        <f t="shared" ref="A262:A325" si="4">A261+1</f>
        <v>257</v>
      </c>
      <c r="B262" s="38" t="s">
        <v>1264</v>
      </c>
      <c r="C262" s="37" t="s">
        <v>1265</v>
      </c>
      <c r="D262" s="37" t="s">
        <v>1266</v>
      </c>
      <c r="E262" s="40" t="s">
        <v>1267</v>
      </c>
      <c r="F262" s="39" t="s">
        <v>1268</v>
      </c>
      <c r="G262" s="40" t="s">
        <v>1269</v>
      </c>
      <c r="H262" s="41">
        <v>8481998030</v>
      </c>
      <c r="I262" s="42">
        <v>14.47</v>
      </c>
      <c r="J262" s="43">
        <v>44930</v>
      </c>
      <c r="K262" s="44">
        <v>45169</v>
      </c>
      <c r="L262" s="65" t="s">
        <v>1270</v>
      </c>
    </row>
    <row r="263" spans="1:12" ht="17.399999999999999" x14ac:dyDescent="0.4">
      <c r="A263" s="37">
        <f t="shared" si="4"/>
        <v>258</v>
      </c>
      <c r="B263" s="38" t="s">
        <v>1264</v>
      </c>
      <c r="C263" s="37" t="s">
        <v>794</v>
      </c>
      <c r="D263" s="37" t="s">
        <v>1266</v>
      </c>
      <c r="E263" s="39" t="s">
        <v>1271</v>
      </c>
      <c r="F263" s="39" t="s">
        <v>491</v>
      </c>
      <c r="G263" s="40" t="s">
        <v>1272</v>
      </c>
      <c r="H263" s="41">
        <v>12971797000</v>
      </c>
      <c r="I263" s="42">
        <v>22.12</v>
      </c>
      <c r="J263" s="43">
        <v>44930</v>
      </c>
      <c r="K263" s="43">
        <v>45169</v>
      </c>
      <c r="L263" s="66" t="s">
        <v>1273</v>
      </c>
    </row>
    <row r="264" spans="1:12" ht="17.399999999999999" x14ac:dyDescent="0.4">
      <c r="A264" s="37">
        <f t="shared" si="4"/>
        <v>259</v>
      </c>
      <c r="B264" s="38" t="s">
        <v>232</v>
      </c>
      <c r="C264" s="37" t="s">
        <v>1334</v>
      </c>
      <c r="D264" s="37" t="s">
        <v>1335</v>
      </c>
      <c r="E264" s="39" t="s">
        <v>1336</v>
      </c>
      <c r="F264" s="39" t="s">
        <v>491</v>
      </c>
      <c r="G264" s="39" t="s">
        <v>1337</v>
      </c>
      <c r="H264" s="41">
        <v>25000000000</v>
      </c>
      <c r="I264" s="42">
        <v>33.880000000000003</v>
      </c>
      <c r="J264" s="43">
        <v>44509</v>
      </c>
      <c r="K264" s="44">
        <v>45169</v>
      </c>
      <c r="L264" s="68" t="s">
        <v>1338</v>
      </c>
    </row>
    <row r="265" spans="1:12" ht="17.399999999999999" x14ac:dyDescent="0.4">
      <c r="A265" s="37">
        <f t="shared" si="4"/>
        <v>260</v>
      </c>
      <c r="B265" s="38" t="s">
        <v>1368</v>
      </c>
      <c r="C265" s="37" t="s">
        <v>1369</v>
      </c>
      <c r="D265" s="37" t="s">
        <v>1300</v>
      </c>
      <c r="E265" s="39" t="s">
        <v>1172</v>
      </c>
      <c r="F265" s="39" t="s">
        <v>1370</v>
      </c>
      <c r="G265" s="40" t="s">
        <v>1371</v>
      </c>
      <c r="H265" s="41">
        <v>17300000000</v>
      </c>
      <c r="I265" s="42">
        <v>68.13</v>
      </c>
      <c r="J265" s="43">
        <v>44762</v>
      </c>
      <c r="K265" s="43">
        <v>45169</v>
      </c>
      <c r="L265" s="57" t="s">
        <v>1372</v>
      </c>
    </row>
    <row r="266" spans="1:12" ht="17.399999999999999" x14ac:dyDescent="0.4">
      <c r="A266" s="37">
        <f t="shared" si="4"/>
        <v>261</v>
      </c>
      <c r="B266" s="38" t="s">
        <v>1401</v>
      </c>
      <c r="C266" s="37" t="s">
        <v>1402</v>
      </c>
      <c r="D266" s="37" t="s">
        <v>1397</v>
      </c>
      <c r="E266" s="39" t="s">
        <v>1403</v>
      </c>
      <c r="F266" s="39" t="s">
        <v>1404</v>
      </c>
      <c r="G266" s="39" t="s">
        <v>1405</v>
      </c>
      <c r="H266" s="41">
        <v>24504946000</v>
      </c>
      <c r="I266" s="42">
        <v>45.17</v>
      </c>
      <c r="J266" s="43">
        <v>44326</v>
      </c>
      <c r="K266" s="43">
        <v>45169</v>
      </c>
      <c r="L266" s="57" t="s">
        <v>1406</v>
      </c>
    </row>
    <row r="267" spans="1:12" ht="17.399999999999999" x14ac:dyDescent="0.4">
      <c r="A267" s="37">
        <f t="shared" si="4"/>
        <v>262</v>
      </c>
      <c r="B267" s="38" t="s">
        <v>1482</v>
      </c>
      <c r="C267" s="37" t="s">
        <v>1483</v>
      </c>
      <c r="D267" s="37" t="s">
        <v>1483</v>
      </c>
      <c r="E267" s="39" t="s">
        <v>1484</v>
      </c>
      <c r="F267" s="39" t="s">
        <v>491</v>
      </c>
      <c r="G267" s="39" t="s">
        <v>1485</v>
      </c>
      <c r="H267" s="41">
        <v>4520000000</v>
      </c>
      <c r="I267" s="42">
        <v>11.43</v>
      </c>
      <c r="J267" s="43">
        <v>44805</v>
      </c>
      <c r="K267" s="43">
        <v>45169</v>
      </c>
      <c r="L267" s="57" t="s">
        <v>1486</v>
      </c>
    </row>
    <row r="268" spans="1:12" ht="17.399999999999999" x14ac:dyDescent="0.4">
      <c r="A268" s="37">
        <f t="shared" si="4"/>
        <v>263</v>
      </c>
      <c r="B268" s="38" t="s">
        <v>1487</v>
      </c>
      <c r="C268" s="37" t="s">
        <v>1488</v>
      </c>
      <c r="D268" s="37" t="s">
        <v>1483</v>
      </c>
      <c r="E268" s="39" t="s">
        <v>1489</v>
      </c>
      <c r="F268" s="39" t="s">
        <v>937</v>
      </c>
      <c r="G268" s="40" t="s">
        <v>1490</v>
      </c>
      <c r="H268" s="41">
        <v>28800000000</v>
      </c>
      <c r="I268" s="42">
        <v>19.100000000000001</v>
      </c>
      <c r="J268" s="43">
        <v>44666</v>
      </c>
      <c r="K268" s="43">
        <v>45169</v>
      </c>
      <c r="L268" s="57" t="s">
        <v>1491</v>
      </c>
    </row>
    <row r="269" spans="1:12" ht="17.399999999999999" x14ac:dyDescent="0.4">
      <c r="A269" s="37">
        <f t="shared" si="4"/>
        <v>264</v>
      </c>
      <c r="B269" s="38" t="s">
        <v>1522</v>
      </c>
      <c r="C269" s="72">
        <v>44452</v>
      </c>
      <c r="D269" s="37" t="s">
        <v>794</v>
      </c>
      <c r="E269" s="39" t="s">
        <v>1523</v>
      </c>
      <c r="F269" s="39" t="s">
        <v>1524</v>
      </c>
      <c r="G269" s="39" t="s">
        <v>1525</v>
      </c>
      <c r="H269" s="41">
        <v>21716772000</v>
      </c>
      <c r="I269" s="42">
        <v>5.4</v>
      </c>
      <c r="J269" s="43">
        <v>44452</v>
      </c>
      <c r="K269" s="43">
        <v>45169</v>
      </c>
      <c r="L269" s="57" t="s">
        <v>1526</v>
      </c>
    </row>
    <row r="270" spans="1:12" ht="17.399999999999999" x14ac:dyDescent="0.4">
      <c r="A270" s="37">
        <f t="shared" si="4"/>
        <v>265</v>
      </c>
      <c r="B270" s="38" t="s">
        <v>1150</v>
      </c>
      <c r="C270" s="37"/>
      <c r="D270" s="37" t="s">
        <v>1597</v>
      </c>
      <c r="E270" s="39"/>
      <c r="F270" s="39" t="s">
        <v>491</v>
      </c>
      <c r="G270" s="39" t="s">
        <v>1598</v>
      </c>
      <c r="H270" s="41">
        <v>24171000000</v>
      </c>
      <c r="I270" s="42">
        <v>16.600000000000001</v>
      </c>
      <c r="J270" s="43">
        <v>44963</v>
      </c>
      <c r="K270" s="43">
        <v>45169</v>
      </c>
      <c r="L270" s="57" t="s">
        <v>1599</v>
      </c>
    </row>
    <row r="271" spans="1:12" ht="17.399999999999999" x14ac:dyDescent="0.4">
      <c r="A271" s="37">
        <f t="shared" si="4"/>
        <v>266</v>
      </c>
      <c r="B271" s="38" t="s">
        <v>1721</v>
      </c>
      <c r="C271" s="37" t="s">
        <v>1722</v>
      </c>
      <c r="D271" s="37" t="s">
        <v>1723</v>
      </c>
      <c r="E271" s="40"/>
      <c r="F271" s="39" t="s">
        <v>491</v>
      </c>
      <c r="G271" s="39" t="s">
        <v>1724</v>
      </c>
      <c r="H271" s="41">
        <v>110050000000</v>
      </c>
      <c r="I271" s="42">
        <v>62.7</v>
      </c>
      <c r="J271" s="43">
        <v>44562</v>
      </c>
      <c r="K271" s="43">
        <v>45169</v>
      </c>
      <c r="L271" s="57" t="s">
        <v>1725</v>
      </c>
    </row>
    <row r="272" spans="1:12" ht="17.399999999999999" x14ac:dyDescent="0.4">
      <c r="A272" s="37">
        <f t="shared" si="4"/>
        <v>267</v>
      </c>
      <c r="B272" s="38" t="s">
        <v>144</v>
      </c>
      <c r="C272" s="37" t="s">
        <v>1760</v>
      </c>
      <c r="D272" s="37" t="s">
        <v>1761</v>
      </c>
      <c r="E272" s="39" t="s">
        <v>1762</v>
      </c>
      <c r="F272" s="39" t="s">
        <v>1763</v>
      </c>
      <c r="G272" s="39" t="s">
        <v>1427</v>
      </c>
      <c r="H272" s="41">
        <v>2000000000000</v>
      </c>
      <c r="I272" s="42">
        <v>45.93</v>
      </c>
      <c r="J272" s="43">
        <v>44054</v>
      </c>
      <c r="K272" s="43">
        <v>45169</v>
      </c>
      <c r="L272" s="74" t="s">
        <v>1764</v>
      </c>
    </row>
    <row r="273" spans="1:12" ht="17.399999999999999" x14ac:dyDescent="0.4">
      <c r="A273" s="37">
        <f t="shared" si="4"/>
        <v>268</v>
      </c>
      <c r="B273" s="38" t="s">
        <v>1557</v>
      </c>
      <c r="C273" s="37"/>
      <c r="D273" s="37" t="s">
        <v>2124</v>
      </c>
      <c r="E273" s="39"/>
      <c r="F273" s="39" t="s">
        <v>1343</v>
      </c>
      <c r="G273" s="39" t="s">
        <v>2127</v>
      </c>
      <c r="H273" s="41">
        <v>299100000000</v>
      </c>
      <c r="I273" s="42">
        <v>29.2</v>
      </c>
      <c r="J273" s="43">
        <v>44543</v>
      </c>
      <c r="K273" s="43">
        <v>45169</v>
      </c>
      <c r="L273" s="57" t="s">
        <v>2128</v>
      </c>
    </row>
    <row r="274" spans="1:12" ht="17.399999999999999" x14ac:dyDescent="0.4">
      <c r="A274" s="37">
        <f t="shared" si="4"/>
        <v>269</v>
      </c>
      <c r="B274" s="38" t="s">
        <v>918</v>
      </c>
      <c r="C274" s="37" t="s">
        <v>919</v>
      </c>
      <c r="D274" s="37" t="s">
        <v>920</v>
      </c>
      <c r="E274" s="40" t="s">
        <v>921</v>
      </c>
      <c r="F274" s="40" t="s">
        <v>922</v>
      </c>
      <c r="G274" s="40" t="s">
        <v>923</v>
      </c>
      <c r="H274" s="46">
        <v>5776363636</v>
      </c>
      <c r="I274" s="42">
        <v>41.73</v>
      </c>
      <c r="J274" s="43">
        <v>44601</v>
      </c>
      <c r="K274" s="43">
        <v>45196</v>
      </c>
      <c r="L274" s="34" t="s">
        <v>924</v>
      </c>
    </row>
    <row r="275" spans="1:12" ht="17.399999999999999" x14ac:dyDescent="0.4">
      <c r="A275" s="37">
        <f t="shared" si="4"/>
        <v>270</v>
      </c>
      <c r="B275" s="38" t="s">
        <v>513</v>
      </c>
      <c r="C275" s="37" t="s">
        <v>1218</v>
      </c>
      <c r="D275" s="37" t="s">
        <v>1219</v>
      </c>
      <c r="E275" s="40"/>
      <c r="F275" s="39" t="s">
        <v>491</v>
      </c>
      <c r="G275" s="40" t="s">
        <v>1220</v>
      </c>
      <c r="H275" s="41">
        <v>9795000000</v>
      </c>
      <c r="I275" s="42">
        <v>32.79</v>
      </c>
      <c r="J275" s="43">
        <v>44721</v>
      </c>
      <c r="K275" s="43">
        <v>45196</v>
      </c>
      <c r="L275" s="66" t="s">
        <v>1221</v>
      </c>
    </row>
    <row r="276" spans="1:12" ht="26.4" x14ac:dyDescent="0.4">
      <c r="A276" s="37">
        <f t="shared" si="4"/>
        <v>271</v>
      </c>
      <c r="B276" s="38" t="s">
        <v>1169</v>
      </c>
      <c r="C276" s="37" t="s">
        <v>1170</v>
      </c>
      <c r="D276" s="37" t="s">
        <v>1171</v>
      </c>
      <c r="E276" s="40" t="s">
        <v>1172</v>
      </c>
      <c r="F276" s="39" t="s">
        <v>1173</v>
      </c>
      <c r="G276" s="40" t="s">
        <v>1174</v>
      </c>
      <c r="H276" s="41">
        <v>17981804389</v>
      </c>
      <c r="I276" s="42">
        <v>21.9</v>
      </c>
      <c r="J276" s="43">
        <v>44810</v>
      </c>
      <c r="K276" s="43">
        <v>45230</v>
      </c>
      <c r="L276" s="66" t="s">
        <v>1175</v>
      </c>
    </row>
    <row r="277" spans="1:12" ht="17.399999999999999" x14ac:dyDescent="0.4">
      <c r="A277" s="37">
        <f t="shared" si="4"/>
        <v>272</v>
      </c>
      <c r="B277" s="38" t="s">
        <v>1255</v>
      </c>
      <c r="C277" s="37" t="s">
        <v>1284</v>
      </c>
      <c r="D277" s="37" t="s">
        <v>1285</v>
      </c>
      <c r="E277" s="39" t="s">
        <v>1286</v>
      </c>
      <c r="F277" s="39" t="s">
        <v>1287</v>
      </c>
      <c r="G277" s="40" t="s">
        <v>1288</v>
      </c>
      <c r="H277" s="41">
        <v>12500000000</v>
      </c>
      <c r="I277" s="42">
        <v>21.31</v>
      </c>
      <c r="J277" s="43">
        <v>44796</v>
      </c>
      <c r="K277" s="43">
        <v>45230</v>
      </c>
      <c r="L277" s="65" t="s">
        <v>1289</v>
      </c>
    </row>
    <row r="278" spans="1:12" ht="26.4" x14ac:dyDescent="0.4">
      <c r="A278" s="37">
        <f t="shared" si="4"/>
        <v>273</v>
      </c>
      <c r="B278" s="38" t="s">
        <v>1429</v>
      </c>
      <c r="C278" s="37" t="s">
        <v>1430</v>
      </c>
      <c r="D278" s="37" t="s">
        <v>1181</v>
      </c>
      <c r="E278" s="39" t="s">
        <v>1431</v>
      </c>
      <c r="F278" s="39" t="s">
        <v>937</v>
      </c>
      <c r="G278" s="40" t="s">
        <v>1432</v>
      </c>
      <c r="H278" s="41">
        <v>17055000000</v>
      </c>
      <c r="I278" s="42">
        <v>20.51</v>
      </c>
      <c r="J278" s="43">
        <v>44760</v>
      </c>
      <c r="K278" s="43">
        <v>45230</v>
      </c>
      <c r="L278" s="57" t="s">
        <v>1433</v>
      </c>
    </row>
    <row r="279" spans="1:12" ht="17.399999999999999" x14ac:dyDescent="0.4">
      <c r="A279" s="37">
        <f t="shared" si="4"/>
        <v>274</v>
      </c>
      <c r="B279" s="38" t="s">
        <v>1548</v>
      </c>
      <c r="C279" s="37"/>
      <c r="D279" s="37" t="s">
        <v>1549</v>
      </c>
      <c r="E279" s="39"/>
      <c r="F279" s="39" t="s">
        <v>523</v>
      </c>
      <c r="G279" s="39" t="s">
        <v>1550</v>
      </c>
      <c r="H279" s="41">
        <v>10498500000</v>
      </c>
      <c r="I279" s="42">
        <v>17.89</v>
      </c>
      <c r="J279" s="43">
        <v>45017</v>
      </c>
      <c r="K279" s="43">
        <v>45230</v>
      </c>
      <c r="L279" s="57" t="s">
        <v>1551</v>
      </c>
    </row>
    <row r="280" spans="1:12" ht="17.399999999999999" x14ac:dyDescent="0.4">
      <c r="A280" s="37">
        <f t="shared" si="4"/>
        <v>275</v>
      </c>
      <c r="B280" s="38" t="s">
        <v>1912</v>
      </c>
      <c r="C280" s="37"/>
      <c r="D280" s="37" t="s">
        <v>1913</v>
      </c>
      <c r="E280" s="40"/>
      <c r="F280" s="39" t="s">
        <v>1914</v>
      </c>
      <c r="G280" s="40" t="s">
        <v>1915</v>
      </c>
      <c r="H280" s="41">
        <v>581800000000</v>
      </c>
      <c r="I280" s="42">
        <v>6.7</v>
      </c>
      <c r="J280" s="43">
        <v>44725</v>
      </c>
      <c r="K280" s="43">
        <v>45230</v>
      </c>
      <c r="L280" s="70" t="s">
        <v>1916</v>
      </c>
    </row>
    <row r="281" spans="1:12" ht="17.399999999999999" x14ac:dyDescent="0.4">
      <c r="A281" s="37">
        <f t="shared" si="4"/>
        <v>276</v>
      </c>
      <c r="B281" s="38" t="s">
        <v>1350</v>
      </c>
      <c r="C281" s="37"/>
      <c r="D281" s="37" t="s">
        <v>2145</v>
      </c>
      <c r="E281" s="39"/>
      <c r="F281" s="39" t="s">
        <v>2146</v>
      </c>
      <c r="G281" s="39" t="s">
        <v>2147</v>
      </c>
      <c r="H281" s="41">
        <v>80000000000</v>
      </c>
      <c r="I281" s="42">
        <v>72.47</v>
      </c>
      <c r="J281" s="43">
        <v>44522</v>
      </c>
      <c r="K281" s="44">
        <v>45230</v>
      </c>
      <c r="L281" s="76" t="s">
        <v>2148</v>
      </c>
    </row>
    <row r="282" spans="1:12" ht="17.399999999999999" x14ac:dyDescent="0.4">
      <c r="A282" s="37">
        <f t="shared" si="4"/>
        <v>277</v>
      </c>
      <c r="B282" s="38" t="s">
        <v>2533</v>
      </c>
      <c r="C282" s="37" t="s">
        <v>2534</v>
      </c>
      <c r="D282" s="37" t="s">
        <v>2275</v>
      </c>
      <c r="E282" s="39" t="s">
        <v>2535</v>
      </c>
      <c r="F282" s="39" t="s">
        <v>2536</v>
      </c>
      <c r="G282" s="39" t="s">
        <v>2537</v>
      </c>
      <c r="H282" s="41">
        <v>441834991200</v>
      </c>
      <c r="I282" s="42">
        <v>49.36</v>
      </c>
      <c r="J282" s="43">
        <v>44055</v>
      </c>
      <c r="K282" s="43">
        <v>45230</v>
      </c>
      <c r="L282" s="74" t="s">
        <v>2538</v>
      </c>
    </row>
    <row r="283" spans="1:12" ht="17.399999999999999" x14ac:dyDescent="0.4">
      <c r="A283" s="37">
        <f t="shared" si="4"/>
        <v>278</v>
      </c>
      <c r="B283" s="38" t="s">
        <v>2197</v>
      </c>
      <c r="C283" s="37"/>
      <c r="D283" s="35" t="s">
        <v>1864</v>
      </c>
      <c r="E283" s="39"/>
      <c r="F283" s="39" t="s">
        <v>2336</v>
      </c>
      <c r="G283" s="39" t="s">
        <v>2337</v>
      </c>
      <c r="H283" s="41">
        <v>15550476762</v>
      </c>
      <c r="I283" s="42">
        <v>13.59</v>
      </c>
      <c r="J283" s="43">
        <v>44370</v>
      </c>
      <c r="K283" s="43">
        <v>45259</v>
      </c>
      <c r="L283" s="74" t="s">
        <v>2338</v>
      </c>
    </row>
    <row r="284" spans="1:12" ht="17.399999999999999" x14ac:dyDescent="0.4">
      <c r="A284" s="37">
        <f t="shared" si="4"/>
        <v>279</v>
      </c>
      <c r="B284" s="38" t="s">
        <v>76</v>
      </c>
      <c r="C284" s="37" t="s">
        <v>1222</v>
      </c>
      <c r="D284" s="37" t="s">
        <v>1219</v>
      </c>
      <c r="E284" s="39"/>
      <c r="F284" s="39" t="s">
        <v>491</v>
      </c>
      <c r="G284" s="40" t="s">
        <v>1223</v>
      </c>
      <c r="H284" s="41">
        <v>22300000000</v>
      </c>
      <c r="I284" s="42">
        <v>13.2</v>
      </c>
      <c r="J284" s="43">
        <v>45033</v>
      </c>
      <c r="K284" s="43">
        <v>45260</v>
      </c>
      <c r="L284" s="65" t="s">
        <v>1224</v>
      </c>
    </row>
    <row r="285" spans="1:12" ht="17.399999999999999" x14ac:dyDescent="0.4">
      <c r="A285" s="37">
        <f t="shared" si="4"/>
        <v>280</v>
      </c>
      <c r="B285" s="38" t="s">
        <v>1232</v>
      </c>
      <c r="C285" s="37" t="s">
        <v>1233</v>
      </c>
      <c r="D285" s="37" t="s">
        <v>1234</v>
      </c>
      <c r="E285" s="40" t="s">
        <v>1235</v>
      </c>
      <c r="F285" s="39" t="s">
        <v>1046</v>
      </c>
      <c r="G285" s="40" t="s">
        <v>1236</v>
      </c>
      <c r="H285" s="41">
        <v>58817747814</v>
      </c>
      <c r="I285" s="42">
        <v>15.2</v>
      </c>
      <c r="J285" s="43">
        <v>44762</v>
      </c>
      <c r="K285" s="43">
        <v>45260</v>
      </c>
      <c r="L285" s="66" t="s">
        <v>1237</v>
      </c>
    </row>
    <row r="286" spans="1:12" ht="26.4" x14ac:dyDescent="0.4">
      <c r="A286" s="37">
        <f t="shared" si="4"/>
        <v>281</v>
      </c>
      <c r="B286" s="38" t="s">
        <v>1434</v>
      </c>
      <c r="C286" s="37" t="s">
        <v>1435</v>
      </c>
      <c r="D286" s="37" t="s">
        <v>1181</v>
      </c>
      <c r="E286" s="39" t="s">
        <v>1436</v>
      </c>
      <c r="F286" s="40" t="s">
        <v>1437</v>
      </c>
      <c r="G286" s="40" t="s">
        <v>1438</v>
      </c>
      <c r="H286" s="41">
        <v>36439000000</v>
      </c>
      <c r="I286" s="42">
        <v>15.4</v>
      </c>
      <c r="J286" s="43">
        <v>44445</v>
      </c>
      <c r="K286" s="43">
        <v>45260</v>
      </c>
      <c r="L286" s="70" t="s">
        <v>1439</v>
      </c>
    </row>
    <row r="287" spans="1:12" ht="17.399999999999999" x14ac:dyDescent="0.4">
      <c r="A287" s="37">
        <f t="shared" si="4"/>
        <v>282</v>
      </c>
      <c r="B287" s="38" t="s">
        <v>1043</v>
      </c>
      <c r="C287" s="37" t="s">
        <v>1044</v>
      </c>
      <c r="D287" s="37" t="s">
        <v>1045</v>
      </c>
      <c r="E287" s="39" t="s">
        <v>1009</v>
      </c>
      <c r="F287" s="39" t="s">
        <v>1046</v>
      </c>
      <c r="G287" s="39" t="s">
        <v>1047</v>
      </c>
      <c r="H287" s="41">
        <v>184976245500</v>
      </c>
      <c r="I287" s="42">
        <v>14.62</v>
      </c>
      <c r="J287" s="43">
        <v>44649</v>
      </c>
      <c r="K287" s="43">
        <v>45280</v>
      </c>
      <c r="L287" s="57" t="s">
        <v>1048</v>
      </c>
    </row>
    <row r="288" spans="1:12" ht="26.4" x14ac:dyDescent="0.4">
      <c r="A288" s="37">
        <f t="shared" si="4"/>
        <v>283</v>
      </c>
      <c r="B288" s="38" t="s">
        <v>126</v>
      </c>
      <c r="C288" s="37" t="s">
        <v>1007</v>
      </c>
      <c r="D288" s="37" t="s">
        <v>1008</v>
      </c>
      <c r="E288" s="39" t="s">
        <v>1009</v>
      </c>
      <c r="F288" s="39" t="s">
        <v>1010</v>
      </c>
      <c r="G288" s="40" t="s">
        <v>1011</v>
      </c>
      <c r="H288" s="41">
        <v>175926000000</v>
      </c>
      <c r="I288" s="42">
        <v>18.559999999999999</v>
      </c>
      <c r="J288" s="43">
        <v>43978</v>
      </c>
      <c r="K288" s="43">
        <v>45291</v>
      </c>
      <c r="L288" s="8" t="s">
        <v>1012</v>
      </c>
    </row>
    <row r="289" spans="1:12" ht="17.399999999999999" x14ac:dyDescent="0.4">
      <c r="A289" s="37">
        <f t="shared" si="4"/>
        <v>284</v>
      </c>
      <c r="B289" s="67" t="s">
        <v>1180</v>
      </c>
      <c r="C289" s="48" t="s">
        <v>1181</v>
      </c>
      <c r="D289" s="48" t="s">
        <v>1182</v>
      </c>
      <c r="E289" s="50" t="s">
        <v>1183</v>
      </c>
      <c r="F289" s="50" t="s">
        <v>937</v>
      </c>
      <c r="G289" s="50" t="s">
        <v>1184</v>
      </c>
      <c r="H289" s="51">
        <v>95500000000</v>
      </c>
      <c r="I289" s="52">
        <v>25.1</v>
      </c>
      <c r="J289" s="53">
        <v>44719</v>
      </c>
      <c r="K289" s="54">
        <v>45291</v>
      </c>
      <c r="L289" s="65" t="s">
        <v>1185</v>
      </c>
    </row>
    <row r="290" spans="1:12" ht="17.399999999999999" x14ac:dyDescent="0.4">
      <c r="A290" s="37">
        <f t="shared" si="4"/>
        <v>285</v>
      </c>
      <c r="B290" s="38" t="s">
        <v>1225</v>
      </c>
      <c r="C290" s="37" t="s">
        <v>1226</v>
      </c>
      <c r="D290" s="37" t="s">
        <v>821</v>
      </c>
      <c r="E290" s="39"/>
      <c r="F290" s="39" t="s">
        <v>1227</v>
      </c>
      <c r="G290" s="39" t="s">
        <v>1228</v>
      </c>
      <c r="H290" s="41">
        <v>298890000000</v>
      </c>
      <c r="I290" s="42">
        <v>13.04</v>
      </c>
      <c r="J290" s="43">
        <v>44371</v>
      </c>
      <c r="K290" s="43">
        <v>45291</v>
      </c>
      <c r="L290" s="66" t="s">
        <v>1229</v>
      </c>
    </row>
    <row r="291" spans="1:12" ht="17.399999999999999" x14ac:dyDescent="0.4">
      <c r="A291" s="37">
        <f t="shared" si="4"/>
        <v>286</v>
      </c>
      <c r="B291" s="38" t="s">
        <v>1477</v>
      </c>
      <c r="C291" s="37" t="s">
        <v>1478</v>
      </c>
      <c r="D291" s="37" t="s">
        <v>1412</v>
      </c>
      <c r="E291" s="38" t="s">
        <v>1479</v>
      </c>
      <c r="F291" s="39" t="s">
        <v>673</v>
      </c>
      <c r="G291" s="40" t="s">
        <v>1480</v>
      </c>
      <c r="H291" s="41">
        <v>30000000000</v>
      </c>
      <c r="I291" s="42">
        <v>26.4</v>
      </c>
      <c r="J291" s="43">
        <v>44627</v>
      </c>
      <c r="K291" s="43">
        <v>45291</v>
      </c>
      <c r="L291" s="57" t="s">
        <v>1481</v>
      </c>
    </row>
    <row r="292" spans="1:12" ht="17.399999999999999" x14ac:dyDescent="0.4">
      <c r="A292" s="37">
        <f t="shared" si="4"/>
        <v>287</v>
      </c>
      <c r="B292" s="38" t="s">
        <v>1560</v>
      </c>
      <c r="C292" s="37" t="s">
        <v>1534</v>
      </c>
      <c r="D292" s="37" t="s">
        <v>1561</v>
      </c>
      <c r="E292" s="39" t="s">
        <v>1364</v>
      </c>
      <c r="F292" s="39" t="s">
        <v>1562</v>
      </c>
      <c r="G292" s="39" t="s">
        <v>1563</v>
      </c>
      <c r="H292" s="41">
        <v>67421000000</v>
      </c>
      <c r="I292" s="42">
        <v>53.06</v>
      </c>
      <c r="J292" s="43">
        <v>44357</v>
      </c>
      <c r="K292" s="43">
        <v>45291</v>
      </c>
      <c r="L292" s="57" t="s">
        <v>1564</v>
      </c>
    </row>
    <row r="293" spans="1:12" ht="17.399999999999999" x14ac:dyDescent="0.4">
      <c r="A293" s="37">
        <f t="shared" si="4"/>
        <v>288</v>
      </c>
      <c r="B293" s="38" t="s">
        <v>1565</v>
      </c>
      <c r="C293" s="37"/>
      <c r="D293" s="37" t="s">
        <v>1566</v>
      </c>
      <c r="E293" s="39"/>
      <c r="F293" s="39" t="s">
        <v>1567</v>
      </c>
      <c r="G293" s="40" t="s">
        <v>1568</v>
      </c>
      <c r="H293" s="41">
        <v>7000000000</v>
      </c>
      <c r="I293" s="42">
        <v>21.63</v>
      </c>
      <c r="J293" s="43">
        <v>44998</v>
      </c>
      <c r="K293" s="43">
        <v>45291</v>
      </c>
      <c r="L293" s="57" t="s">
        <v>1569</v>
      </c>
    </row>
    <row r="294" spans="1:12" ht="17.399999999999999" x14ac:dyDescent="0.4">
      <c r="A294" s="37">
        <f t="shared" si="4"/>
        <v>289</v>
      </c>
      <c r="B294" s="38" t="s">
        <v>423</v>
      </c>
      <c r="C294" s="37"/>
      <c r="D294" s="37" t="s">
        <v>1552</v>
      </c>
      <c r="E294" s="40"/>
      <c r="F294" s="39" t="s">
        <v>523</v>
      </c>
      <c r="G294" s="40" t="s">
        <v>1649</v>
      </c>
      <c r="H294" s="41">
        <v>1656300000000</v>
      </c>
      <c r="I294" s="42">
        <v>50</v>
      </c>
      <c r="J294" s="43">
        <v>44927</v>
      </c>
      <c r="K294" s="44">
        <v>45291</v>
      </c>
      <c r="L294" s="73" t="s">
        <v>1650</v>
      </c>
    </row>
    <row r="295" spans="1:12" ht="17.399999999999999" x14ac:dyDescent="0.4">
      <c r="A295" s="37">
        <f t="shared" si="4"/>
        <v>290</v>
      </c>
      <c r="B295" s="38" t="s">
        <v>1882</v>
      </c>
      <c r="C295" s="37"/>
      <c r="D295" s="37" t="s">
        <v>1883</v>
      </c>
      <c r="E295" s="39"/>
      <c r="F295" s="39" t="s">
        <v>1884</v>
      </c>
      <c r="G295" s="40" t="s">
        <v>1885</v>
      </c>
      <c r="H295" s="41">
        <v>69500000000</v>
      </c>
      <c r="I295" s="42">
        <v>43.28</v>
      </c>
      <c r="J295" s="43">
        <v>44750</v>
      </c>
      <c r="K295" s="43">
        <v>45291</v>
      </c>
      <c r="L295" s="57" t="s">
        <v>1886</v>
      </c>
    </row>
    <row r="296" spans="1:12" ht="26.4" x14ac:dyDescent="0.4">
      <c r="A296" s="37">
        <f t="shared" si="4"/>
        <v>291</v>
      </c>
      <c r="B296" s="38" t="s">
        <v>1926</v>
      </c>
      <c r="C296" s="37"/>
      <c r="D296" s="37" t="s">
        <v>1808</v>
      </c>
      <c r="E296" s="40"/>
      <c r="F296" s="40" t="s">
        <v>1927</v>
      </c>
      <c r="G296" s="55" t="s">
        <v>1928</v>
      </c>
      <c r="H296" s="41">
        <v>57000000000</v>
      </c>
      <c r="I296" s="42">
        <v>7.7</v>
      </c>
      <c r="J296" s="43">
        <v>44712</v>
      </c>
      <c r="K296" s="43">
        <v>45291</v>
      </c>
      <c r="L296" s="57" t="s">
        <v>1929</v>
      </c>
    </row>
    <row r="297" spans="1:12" ht="17.399999999999999" x14ac:dyDescent="0.4">
      <c r="A297" s="37">
        <f t="shared" si="4"/>
        <v>292</v>
      </c>
      <c r="B297" s="38" t="s">
        <v>1954</v>
      </c>
      <c r="C297" s="37"/>
      <c r="D297" s="37" t="s">
        <v>1743</v>
      </c>
      <c r="E297" s="40"/>
      <c r="F297" s="39" t="s">
        <v>1955</v>
      </c>
      <c r="G297" s="39" t="s">
        <v>1956</v>
      </c>
      <c r="H297" s="41">
        <v>34780000000</v>
      </c>
      <c r="I297" s="42">
        <v>17.5</v>
      </c>
      <c r="J297" s="43">
        <v>44692</v>
      </c>
      <c r="K297" s="43">
        <v>45291</v>
      </c>
      <c r="L297" s="57" t="s">
        <v>1957</v>
      </c>
    </row>
    <row r="298" spans="1:12" ht="17.399999999999999" x14ac:dyDescent="0.4">
      <c r="A298" s="37">
        <f t="shared" si="4"/>
        <v>293</v>
      </c>
      <c r="B298" s="38" t="s">
        <v>151</v>
      </c>
      <c r="C298" s="37"/>
      <c r="D298" s="37" t="s">
        <v>2185</v>
      </c>
      <c r="E298" s="39"/>
      <c r="F298" s="39" t="s">
        <v>2189</v>
      </c>
      <c r="G298" s="39" t="s">
        <v>2190</v>
      </c>
      <c r="H298" s="41">
        <v>109392000000</v>
      </c>
      <c r="I298" s="42">
        <v>37.5</v>
      </c>
      <c r="J298" s="44">
        <v>44470</v>
      </c>
      <c r="K298" s="43">
        <v>45291</v>
      </c>
      <c r="L298" s="57" t="s">
        <v>2191</v>
      </c>
    </row>
    <row r="299" spans="1:12" ht="17.399999999999999" x14ac:dyDescent="0.4">
      <c r="A299" s="37">
        <f t="shared" si="4"/>
        <v>294</v>
      </c>
      <c r="B299" s="47" t="s">
        <v>788</v>
      </c>
      <c r="C299" s="48"/>
      <c r="D299" s="48" t="s">
        <v>2286</v>
      </c>
      <c r="E299" s="47"/>
      <c r="F299" s="50" t="s">
        <v>2287</v>
      </c>
      <c r="G299" s="50" t="s">
        <v>2288</v>
      </c>
      <c r="H299" s="51">
        <v>185900000000</v>
      </c>
      <c r="I299" s="52">
        <v>14.6</v>
      </c>
      <c r="J299" s="53">
        <v>44400</v>
      </c>
      <c r="K299" s="53">
        <v>45291</v>
      </c>
      <c r="L299" s="57" t="s">
        <v>2289</v>
      </c>
    </row>
    <row r="300" spans="1:12" ht="17.399999999999999" x14ac:dyDescent="0.4">
      <c r="A300" s="37">
        <f t="shared" si="4"/>
        <v>295</v>
      </c>
      <c r="B300" s="38" t="s">
        <v>2390</v>
      </c>
      <c r="C300" s="37"/>
      <c r="D300" s="37" t="s">
        <v>2391</v>
      </c>
      <c r="E300" s="39"/>
      <c r="F300" s="39" t="s">
        <v>2392</v>
      </c>
      <c r="G300" s="39" t="s">
        <v>2393</v>
      </c>
      <c r="H300" s="41">
        <v>318100000000</v>
      </c>
      <c r="I300" s="42">
        <v>4.16</v>
      </c>
      <c r="J300" s="43">
        <v>44348</v>
      </c>
      <c r="K300" s="43">
        <v>45291</v>
      </c>
      <c r="L300" s="82" t="s">
        <v>2394</v>
      </c>
    </row>
    <row r="301" spans="1:12" ht="26.4" x14ac:dyDescent="0.4">
      <c r="A301" s="37">
        <f t="shared" si="4"/>
        <v>296</v>
      </c>
      <c r="B301" s="58" t="s">
        <v>434</v>
      </c>
      <c r="C301" s="59"/>
      <c r="D301" s="59" t="s">
        <v>2398</v>
      </c>
      <c r="E301" s="60"/>
      <c r="F301" s="61" t="s">
        <v>2399</v>
      </c>
      <c r="G301" s="61" t="s">
        <v>2400</v>
      </c>
      <c r="H301" s="62">
        <v>73000000000</v>
      </c>
      <c r="I301" s="63">
        <v>25.81</v>
      </c>
      <c r="J301" s="64">
        <v>44313</v>
      </c>
      <c r="K301" s="64">
        <v>45291</v>
      </c>
      <c r="L301" s="73" t="s">
        <v>2401</v>
      </c>
    </row>
    <row r="302" spans="1:12" ht="17.399999999999999" x14ac:dyDescent="0.4">
      <c r="A302" s="37">
        <f t="shared" si="4"/>
        <v>297</v>
      </c>
      <c r="B302" s="38" t="s">
        <v>1527</v>
      </c>
      <c r="C302" s="37" t="s">
        <v>1528</v>
      </c>
      <c r="D302" s="37" t="s">
        <v>794</v>
      </c>
      <c r="E302" s="39" t="s">
        <v>1529</v>
      </c>
      <c r="F302" s="39" t="s">
        <v>1530</v>
      </c>
      <c r="G302" s="39" t="s">
        <v>1531</v>
      </c>
      <c r="H302" s="41">
        <v>285000000000</v>
      </c>
      <c r="I302" s="42">
        <v>26.71</v>
      </c>
      <c r="J302" s="43">
        <v>43851</v>
      </c>
      <c r="K302" s="43">
        <v>45302</v>
      </c>
      <c r="L302" s="57" t="s">
        <v>1532</v>
      </c>
    </row>
    <row r="303" spans="1:12" ht="17.399999999999999" x14ac:dyDescent="0.4">
      <c r="A303" s="37">
        <f t="shared" si="4"/>
        <v>298</v>
      </c>
      <c r="B303" s="38" t="s">
        <v>1739</v>
      </c>
      <c r="C303" s="37"/>
      <c r="D303" s="37" t="s">
        <v>1732</v>
      </c>
      <c r="E303" s="40"/>
      <c r="F303" s="39" t="s">
        <v>491</v>
      </c>
      <c r="G303" s="40" t="s">
        <v>1740</v>
      </c>
      <c r="H303" s="41">
        <v>40300000000</v>
      </c>
      <c r="I303" s="42">
        <v>25.92</v>
      </c>
      <c r="J303" s="43">
        <v>44865</v>
      </c>
      <c r="K303" s="44">
        <v>45322</v>
      </c>
      <c r="L303" s="57" t="s">
        <v>1741</v>
      </c>
    </row>
    <row r="304" spans="1:12" ht="39.6" x14ac:dyDescent="0.4">
      <c r="A304" s="37">
        <f t="shared" si="4"/>
        <v>299</v>
      </c>
      <c r="B304" s="38" t="s">
        <v>962</v>
      </c>
      <c r="C304" s="37" t="s">
        <v>963</v>
      </c>
      <c r="D304" s="37" t="s">
        <v>964</v>
      </c>
      <c r="E304" s="40" t="s">
        <v>965</v>
      </c>
      <c r="F304" s="39" t="s">
        <v>966</v>
      </c>
      <c r="G304" s="55" t="s">
        <v>967</v>
      </c>
      <c r="H304" s="41">
        <v>8886497636</v>
      </c>
      <c r="I304" s="42">
        <v>18.79</v>
      </c>
      <c r="J304" s="43">
        <v>44875</v>
      </c>
      <c r="K304" s="44">
        <v>45338</v>
      </c>
      <c r="L304" s="8" t="s">
        <v>968</v>
      </c>
    </row>
    <row r="305" spans="1:12" ht="26.4" x14ac:dyDescent="0.4">
      <c r="A305" s="37">
        <f t="shared" si="4"/>
        <v>300</v>
      </c>
      <c r="B305" s="38" t="s">
        <v>1130</v>
      </c>
      <c r="C305" s="37" t="s">
        <v>1131</v>
      </c>
      <c r="D305" s="37" t="s">
        <v>1132</v>
      </c>
      <c r="E305" s="40" t="s">
        <v>1133</v>
      </c>
      <c r="F305" s="39" t="s">
        <v>937</v>
      </c>
      <c r="G305" s="40" t="s">
        <v>1134</v>
      </c>
      <c r="H305" s="41">
        <v>20529000000</v>
      </c>
      <c r="I305" s="42">
        <v>10.28</v>
      </c>
      <c r="J305" s="43">
        <v>44874</v>
      </c>
      <c r="K305" s="43">
        <v>45350</v>
      </c>
      <c r="L305" s="66" t="s">
        <v>1135</v>
      </c>
    </row>
    <row r="306" spans="1:12" ht="17.399999999999999" x14ac:dyDescent="0.4">
      <c r="A306" s="37">
        <f t="shared" si="4"/>
        <v>301</v>
      </c>
      <c r="B306" s="38" t="s">
        <v>1570</v>
      </c>
      <c r="C306" s="37"/>
      <c r="D306" s="37" t="s">
        <v>1571</v>
      </c>
      <c r="E306" s="39"/>
      <c r="F306" s="39" t="s">
        <v>1572</v>
      </c>
      <c r="G306" s="40" t="s">
        <v>1573</v>
      </c>
      <c r="H306" s="41">
        <v>38822651500</v>
      </c>
      <c r="I306" s="42">
        <v>13.46</v>
      </c>
      <c r="J306" s="43">
        <v>44993</v>
      </c>
      <c r="K306" s="43">
        <v>45350</v>
      </c>
      <c r="L306" s="57" t="s">
        <v>1574</v>
      </c>
    </row>
    <row r="307" spans="1:12" ht="17.399999999999999" x14ac:dyDescent="0.4">
      <c r="A307" s="37">
        <f t="shared" si="4"/>
        <v>302</v>
      </c>
      <c r="B307" s="47" t="s">
        <v>84</v>
      </c>
      <c r="C307" s="48"/>
      <c r="D307" s="48" t="s">
        <v>1981</v>
      </c>
      <c r="E307" s="50"/>
      <c r="F307" s="50" t="s">
        <v>1982</v>
      </c>
      <c r="G307" s="49" t="s">
        <v>1983</v>
      </c>
      <c r="H307" s="51">
        <v>54300000000</v>
      </c>
      <c r="I307" s="52">
        <v>43.3</v>
      </c>
      <c r="J307" s="53">
        <v>44659</v>
      </c>
      <c r="K307" s="53">
        <v>45350</v>
      </c>
      <c r="L307" s="73" t="s">
        <v>1984</v>
      </c>
    </row>
    <row r="308" spans="1:12" ht="17.399999999999999" x14ac:dyDescent="0.4">
      <c r="A308" s="37">
        <f t="shared" si="4"/>
        <v>303</v>
      </c>
      <c r="B308" s="38" t="s">
        <v>1013</v>
      </c>
      <c r="C308" s="37" t="s">
        <v>1014</v>
      </c>
      <c r="D308" s="37" t="s">
        <v>1015</v>
      </c>
      <c r="E308" s="40" t="s">
        <v>1016</v>
      </c>
      <c r="F308" s="39" t="s">
        <v>1017</v>
      </c>
      <c r="G308" s="40" t="s">
        <v>1018</v>
      </c>
      <c r="H308" s="41">
        <v>83600000000</v>
      </c>
      <c r="I308" s="42">
        <v>24.15</v>
      </c>
      <c r="J308" s="43">
        <v>44866</v>
      </c>
      <c r="K308" s="44">
        <v>45351</v>
      </c>
      <c r="L308" s="34" t="s">
        <v>1019</v>
      </c>
    </row>
    <row r="309" spans="1:12" ht="26.4" x14ac:dyDescent="0.4">
      <c r="A309" s="37">
        <f t="shared" si="4"/>
        <v>304</v>
      </c>
      <c r="B309" s="58" t="s">
        <v>1069</v>
      </c>
      <c r="C309" s="59" t="s">
        <v>1070</v>
      </c>
      <c r="D309" s="59" t="s">
        <v>934</v>
      </c>
      <c r="E309" s="60" t="s">
        <v>1071</v>
      </c>
      <c r="F309" s="60" t="s">
        <v>491</v>
      </c>
      <c r="G309" s="61" t="s">
        <v>1072</v>
      </c>
      <c r="H309" s="62">
        <v>65476000000</v>
      </c>
      <c r="I309" s="63">
        <v>62.9</v>
      </c>
      <c r="J309" s="64">
        <v>44767</v>
      </c>
      <c r="K309" s="64">
        <v>45351</v>
      </c>
      <c r="L309" s="34" t="s">
        <v>1073</v>
      </c>
    </row>
    <row r="310" spans="1:12" ht="26.4" x14ac:dyDescent="0.4">
      <c r="A310" s="37">
        <f t="shared" si="4"/>
        <v>305</v>
      </c>
      <c r="B310" s="38" t="s">
        <v>962</v>
      </c>
      <c r="C310" s="37"/>
      <c r="D310" s="37" t="s">
        <v>821</v>
      </c>
      <c r="E310" s="40"/>
      <c r="F310" s="39" t="s">
        <v>491</v>
      </c>
      <c r="G310" s="55" t="s">
        <v>1230</v>
      </c>
      <c r="H310" s="41">
        <v>8854000000</v>
      </c>
      <c r="I310" s="42">
        <v>14.02</v>
      </c>
      <c r="J310" s="43">
        <v>45203</v>
      </c>
      <c r="K310" s="44">
        <v>45351</v>
      </c>
      <c r="L310" s="66" t="s">
        <v>1231</v>
      </c>
    </row>
    <row r="311" spans="1:12" ht="17.399999999999999" x14ac:dyDescent="0.4">
      <c r="A311" s="37">
        <f t="shared" si="4"/>
        <v>306</v>
      </c>
      <c r="B311" s="38" t="s">
        <v>1280</v>
      </c>
      <c r="C311" s="37"/>
      <c r="D311" s="37" t="s">
        <v>1281</v>
      </c>
      <c r="E311" s="39"/>
      <c r="F311" s="39" t="s">
        <v>491</v>
      </c>
      <c r="G311" s="40" t="s">
        <v>1282</v>
      </c>
      <c r="H311" s="41">
        <v>5740000000</v>
      </c>
      <c r="I311" s="42">
        <v>15.24</v>
      </c>
      <c r="J311" s="43">
        <v>44796</v>
      </c>
      <c r="K311" s="43">
        <v>45351</v>
      </c>
      <c r="L311" s="66" t="s">
        <v>1283</v>
      </c>
    </row>
    <row r="312" spans="1:12" ht="17.399999999999999" x14ac:dyDescent="0.4">
      <c r="A312" s="37">
        <f t="shared" si="4"/>
        <v>307</v>
      </c>
      <c r="B312" s="38" t="s">
        <v>1002</v>
      </c>
      <c r="C312" s="37" t="s">
        <v>794</v>
      </c>
      <c r="D312" s="37" t="s">
        <v>1003</v>
      </c>
      <c r="E312" s="40" t="s">
        <v>1004</v>
      </c>
      <c r="F312" s="40" t="s">
        <v>491</v>
      </c>
      <c r="G312" s="39" t="s">
        <v>1005</v>
      </c>
      <c r="H312" s="45">
        <v>61000000000</v>
      </c>
      <c r="I312" s="42">
        <v>31.11</v>
      </c>
      <c r="J312" s="43">
        <v>44466</v>
      </c>
      <c r="K312" s="44">
        <v>45382</v>
      </c>
      <c r="L312" s="34" t="s">
        <v>1006</v>
      </c>
    </row>
    <row r="313" spans="1:12" ht="17.399999999999999" x14ac:dyDescent="0.4">
      <c r="A313" s="37">
        <f t="shared" si="4"/>
        <v>308</v>
      </c>
      <c r="B313" s="38" t="s">
        <v>1255</v>
      </c>
      <c r="C313" s="37" t="s">
        <v>1256</v>
      </c>
      <c r="D313" s="37" t="s">
        <v>1257</v>
      </c>
      <c r="E313" s="39" t="s">
        <v>1258</v>
      </c>
      <c r="F313" s="39" t="s">
        <v>1259</v>
      </c>
      <c r="G313" s="40" t="s">
        <v>1260</v>
      </c>
      <c r="H313" s="41">
        <v>14000000000</v>
      </c>
      <c r="I313" s="42">
        <v>23.87</v>
      </c>
      <c r="J313" s="43">
        <v>44985</v>
      </c>
      <c r="K313" s="43">
        <v>45382</v>
      </c>
      <c r="L313" s="71" t="s">
        <v>1261</v>
      </c>
    </row>
    <row r="314" spans="1:12" ht="26.4" x14ac:dyDescent="0.4">
      <c r="A314" s="37">
        <f t="shared" si="4"/>
        <v>309</v>
      </c>
      <c r="B314" s="38" t="s">
        <v>1384</v>
      </c>
      <c r="C314" s="37"/>
      <c r="D314" s="37" t="s">
        <v>1385</v>
      </c>
      <c r="E314" s="40"/>
      <c r="F314" s="39" t="s">
        <v>1386</v>
      </c>
      <c r="G314" s="40" t="s">
        <v>1387</v>
      </c>
      <c r="H314" s="41">
        <v>28793000000</v>
      </c>
      <c r="I314" s="42">
        <v>34.1</v>
      </c>
      <c r="J314" s="43">
        <v>45091</v>
      </c>
      <c r="K314" s="43">
        <v>45382</v>
      </c>
      <c r="L314" s="57" t="s">
        <v>1388</v>
      </c>
    </row>
    <row r="315" spans="1:12" ht="17.399999999999999" x14ac:dyDescent="0.4">
      <c r="A315" s="37">
        <f t="shared" si="4"/>
        <v>310</v>
      </c>
      <c r="B315" s="38" t="s">
        <v>2235</v>
      </c>
      <c r="C315" s="37"/>
      <c r="D315" s="37" t="s">
        <v>2236</v>
      </c>
      <c r="E315" s="39"/>
      <c r="F315" s="40" t="s">
        <v>2237</v>
      </c>
      <c r="G315" s="40" t="s">
        <v>2238</v>
      </c>
      <c r="H315" s="45">
        <v>83000000000</v>
      </c>
      <c r="I315" s="42">
        <v>15.01</v>
      </c>
      <c r="J315" s="43">
        <v>44440</v>
      </c>
      <c r="K315" s="43">
        <v>45382</v>
      </c>
      <c r="L315" s="57" t="s">
        <v>2239</v>
      </c>
    </row>
    <row r="316" spans="1:12" ht="17.399999999999999" x14ac:dyDescent="0.4">
      <c r="A316" s="37">
        <f t="shared" si="4"/>
        <v>311</v>
      </c>
      <c r="B316" s="38" t="s">
        <v>1542</v>
      </c>
      <c r="C316" s="37"/>
      <c r="D316" s="37" t="s">
        <v>2290</v>
      </c>
      <c r="E316" s="39"/>
      <c r="F316" s="40" t="s">
        <v>2291</v>
      </c>
      <c r="G316" s="40" t="s">
        <v>2292</v>
      </c>
      <c r="H316" s="45">
        <v>3300000000000</v>
      </c>
      <c r="I316" s="42">
        <v>25.91</v>
      </c>
      <c r="J316" s="43">
        <v>44421</v>
      </c>
      <c r="K316" s="43">
        <v>45382</v>
      </c>
      <c r="L316" s="57" t="s">
        <v>2293</v>
      </c>
    </row>
    <row r="317" spans="1:12" ht="26.4" x14ac:dyDescent="0.4">
      <c r="A317" s="37">
        <f t="shared" si="4"/>
        <v>312</v>
      </c>
      <c r="B317" s="38" t="s">
        <v>893</v>
      </c>
      <c r="C317" s="37" t="s">
        <v>894</v>
      </c>
      <c r="D317" s="37" t="s">
        <v>895</v>
      </c>
      <c r="E317" s="40" t="s">
        <v>708</v>
      </c>
      <c r="F317" s="39" t="s">
        <v>491</v>
      </c>
      <c r="G317" s="40" t="s">
        <v>896</v>
      </c>
      <c r="H317" s="41">
        <v>8908000000</v>
      </c>
      <c r="I317" s="42">
        <v>20.76</v>
      </c>
      <c r="J317" s="43">
        <v>44811</v>
      </c>
      <c r="K317" s="43">
        <v>45412</v>
      </c>
      <c r="L317" s="34" t="s">
        <v>897</v>
      </c>
    </row>
    <row r="318" spans="1:12" ht="17.399999999999999" x14ac:dyDescent="0.4">
      <c r="A318" s="37">
        <f t="shared" si="4"/>
        <v>313</v>
      </c>
      <c r="B318" s="38" t="s">
        <v>985</v>
      </c>
      <c r="C318" s="37" t="s">
        <v>986</v>
      </c>
      <c r="D318" s="37" t="s">
        <v>987</v>
      </c>
      <c r="E318" s="39" t="s">
        <v>988</v>
      </c>
      <c r="F318" s="39" t="s">
        <v>989</v>
      </c>
      <c r="G318" s="39" t="s">
        <v>990</v>
      </c>
      <c r="H318" s="41">
        <v>106053966000</v>
      </c>
      <c r="I318" s="42">
        <v>37.409999999999997</v>
      </c>
      <c r="J318" s="43">
        <v>44743</v>
      </c>
      <c r="K318" s="43">
        <v>45412</v>
      </c>
      <c r="L318" s="34" t="s">
        <v>991</v>
      </c>
    </row>
    <row r="319" spans="1:12" ht="17.399999999999999" x14ac:dyDescent="0.4">
      <c r="A319" s="37">
        <f t="shared" si="4"/>
        <v>314</v>
      </c>
      <c r="B319" s="38" t="s">
        <v>995</v>
      </c>
      <c r="C319" s="37" t="s">
        <v>996</v>
      </c>
      <c r="D319" s="37" t="s">
        <v>997</v>
      </c>
      <c r="E319" s="39" t="s">
        <v>998</v>
      </c>
      <c r="F319" s="40" t="s">
        <v>999</v>
      </c>
      <c r="G319" s="40" t="s">
        <v>1000</v>
      </c>
      <c r="H319" s="41">
        <v>11537000000</v>
      </c>
      <c r="I319" s="42">
        <v>35.770000000000003</v>
      </c>
      <c r="J319" s="43">
        <v>45078</v>
      </c>
      <c r="K319" s="43">
        <v>45412</v>
      </c>
      <c r="L319" s="34" t="s">
        <v>1001</v>
      </c>
    </row>
    <row r="320" spans="1:12" ht="17.399999999999999" x14ac:dyDescent="0.4">
      <c r="A320" s="37">
        <f t="shared" si="4"/>
        <v>315</v>
      </c>
      <c r="B320" s="38" t="s">
        <v>1453</v>
      </c>
      <c r="C320" s="37" t="s">
        <v>1454</v>
      </c>
      <c r="D320" s="37" t="s">
        <v>1454</v>
      </c>
      <c r="E320" s="40" t="s">
        <v>1455</v>
      </c>
      <c r="F320" s="39" t="s">
        <v>1456</v>
      </c>
      <c r="G320" s="39" t="s">
        <v>1457</v>
      </c>
      <c r="H320" s="41">
        <v>11808000000</v>
      </c>
      <c r="I320" s="42">
        <v>14.68</v>
      </c>
      <c r="J320" s="43">
        <v>45125</v>
      </c>
      <c r="K320" s="43">
        <v>45412</v>
      </c>
      <c r="L320" s="34" t="s">
        <v>1458</v>
      </c>
    </row>
    <row r="321" spans="1:12" ht="17.399999999999999" x14ac:dyDescent="0.4">
      <c r="A321" s="37">
        <f t="shared" si="4"/>
        <v>316</v>
      </c>
      <c r="B321" s="38" t="s">
        <v>1726</v>
      </c>
      <c r="C321" s="37" t="s">
        <v>1727</v>
      </c>
      <c r="D321" s="37" t="s">
        <v>1723</v>
      </c>
      <c r="E321" s="39"/>
      <c r="F321" s="39" t="s">
        <v>1728</v>
      </c>
      <c r="G321" s="39" t="s">
        <v>1729</v>
      </c>
      <c r="H321" s="41">
        <v>276500000000</v>
      </c>
      <c r="I321" s="42">
        <v>8.7799999999999994</v>
      </c>
      <c r="J321" s="43">
        <v>44369</v>
      </c>
      <c r="K321" s="43">
        <v>45412</v>
      </c>
      <c r="L321" s="57" t="s">
        <v>1730</v>
      </c>
    </row>
    <row r="322" spans="1:12" ht="17.399999999999999" x14ac:dyDescent="0.4">
      <c r="A322" s="37">
        <f t="shared" si="4"/>
        <v>317</v>
      </c>
      <c r="B322" s="38" t="s">
        <v>2041</v>
      </c>
      <c r="C322" s="37"/>
      <c r="D322" s="37" t="s">
        <v>2042</v>
      </c>
      <c r="E322" s="38"/>
      <c r="F322" s="39" t="s">
        <v>2043</v>
      </c>
      <c r="G322" s="39" t="s">
        <v>2044</v>
      </c>
      <c r="H322" s="41">
        <v>413000000000</v>
      </c>
      <c r="I322" s="42">
        <v>17</v>
      </c>
      <c r="J322" s="43">
        <v>44614</v>
      </c>
      <c r="K322" s="43">
        <v>45412</v>
      </c>
      <c r="L322" s="57" t="s">
        <v>2045</v>
      </c>
    </row>
    <row r="323" spans="1:12" ht="17.399999999999999" x14ac:dyDescent="0.4">
      <c r="A323" s="37">
        <f t="shared" si="4"/>
        <v>318</v>
      </c>
      <c r="B323" s="38" t="s">
        <v>933</v>
      </c>
      <c r="C323" s="37" t="s">
        <v>934</v>
      </c>
      <c r="D323" s="37" t="s">
        <v>935</v>
      </c>
      <c r="E323" s="39" t="s">
        <v>936</v>
      </c>
      <c r="F323" s="39" t="s">
        <v>937</v>
      </c>
      <c r="G323" s="40" t="s">
        <v>938</v>
      </c>
      <c r="H323" s="41">
        <v>125300000000</v>
      </c>
      <c r="I323" s="42">
        <v>48.76</v>
      </c>
      <c r="J323" s="43">
        <v>44741</v>
      </c>
      <c r="K323" s="43">
        <v>45443</v>
      </c>
      <c r="L323" s="34" t="s">
        <v>939</v>
      </c>
    </row>
    <row r="324" spans="1:12" ht="17.399999999999999" x14ac:dyDescent="0.4">
      <c r="A324" s="37">
        <f t="shared" si="4"/>
        <v>319</v>
      </c>
      <c r="B324" s="38" t="s">
        <v>1026</v>
      </c>
      <c r="C324" s="37" t="s">
        <v>1027</v>
      </c>
      <c r="D324" s="37" t="s">
        <v>1028</v>
      </c>
      <c r="E324" s="40" t="s">
        <v>1029</v>
      </c>
      <c r="F324" s="39" t="s">
        <v>491</v>
      </c>
      <c r="G324" s="39" t="s">
        <v>1030</v>
      </c>
      <c r="H324" s="41">
        <v>10116000000</v>
      </c>
      <c r="I324" s="42">
        <v>19.850000000000001</v>
      </c>
      <c r="J324" s="43">
        <v>45078</v>
      </c>
      <c r="K324" s="43">
        <v>45443</v>
      </c>
      <c r="L324" s="34" t="s">
        <v>1031</v>
      </c>
    </row>
    <row r="325" spans="1:12" ht="17.399999999999999" x14ac:dyDescent="0.4">
      <c r="A325" s="37">
        <f t="shared" si="4"/>
        <v>320</v>
      </c>
      <c r="B325" s="38" t="s">
        <v>1122</v>
      </c>
      <c r="C325" s="37"/>
      <c r="D325" s="37" t="s">
        <v>1123</v>
      </c>
      <c r="E325" s="40"/>
      <c r="F325" s="39" t="s">
        <v>1124</v>
      </c>
      <c r="G325" s="40" t="s">
        <v>1125</v>
      </c>
      <c r="H325" s="41">
        <v>18000000000</v>
      </c>
      <c r="I325" s="42">
        <v>16.59</v>
      </c>
      <c r="J325" s="43">
        <v>45257</v>
      </c>
      <c r="K325" s="43">
        <v>45443</v>
      </c>
      <c r="L325" s="66" t="s">
        <v>1126</v>
      </c>
    </row>
    <row r="326" spans="1:12" ht="39.6" x14ac:dyDescent="0.4">
      <c r="A326" s="37">
        <f t="shared" ref="A326:A381" si="5">A325+1</f>
        <v>321</v>
      </c>
      <c r="B326" s="38" t="s">
        <v>1155</v>
      </c>
      <c r="C326" s="37" t="s">
        <v>1156</v>
      </c>
      <c r="D326" s="37" t="s">
        <v>1157</v>
      </c>
      <c r="E326" s="40" t="s">
        <v>1158</v>
      </c>
      <c r="F326" s="39" t="s">
        <v>1159</v>
      </c>
      <c r="G326" s="40" t="s">
        <v>1160</v>
      </c>
      <c r="H326" s="41">
        <v>104800000000</v>
      </c>
      <c r="I326" s="42">
        <v>59.4</v>
      </c>
      <c r="J326" s="43">
        <v>43647</v>
      </c>
      <c r="K326" s="44">
        <v>45443</v>
      </c>
      <c r="L326" s="66" t="s">
        <v>1161</v>
      </c>
    </row>
    <row r="327" spans="1:12" ht="17.399999999999999" x14ac:dyDescent="0.4">
      <c r="A327" s="37">
        <f t="shared" si="5"/>
        <v>322</v>
      </c>
      <c r="B327" s="38" t="s">
        <v>1417</v>
      </c>
      <c r="C327" s="37"/>
      <c r="D327" s="37" t="s">
        <v>1413</v>
      </c>
      <c r="E327" s="80"/>
      <c r="F327" s="39" t="s">
        <v>1418</v>
      </c>
      <c r="G327" s="40" t="s">
        <v>1419</v>
      </c>
      <c r="H327" s="41">
        <v>13900000000</v>
      </c>
      <c r="I327" s="42">
        <v>21.45</v>
      </c>
      <c r="J327" s="43">
        <v>45085</v>
      </c>
      <c r="K327" s="43">
        <v>45443</v>
      </c>
      <c r="L327" s="57" t="s">
        <v>1420</v>
      </c>
    </row>
    <row r="328" spans="1:12" ht="17.399999999999999" x14ac:dyDescent="0.4">
      <c r="A328" s="37">
        <f t="shared" si="5"/>
        <v>323</v>
      </c>
      <c r="B328" s="38" t="s">
        <v>1557</v>
      </c>
      <c r="C328" s="37"/>
      <c r="D328" s="37" t="s">
        <v>1856</v>
      </c>
      <c r="E328" s="78"/>
      <c r="F328" s="39" t="s">
        <v>1857</v>
      </c>
      <c r="G328" s="40" t="s">
        <v>1858</v>
      </c>
      <c r="H328" s="41">
        <v>326200000000</v>
      </c>
      <c r="I328" s="42">
        <v>13.38</v>
      </c>
      <c r="J328" s="43">
        <v>44769</v>
      </c>
      <c r="K328" s="43">
        <v>45443</v>
      </c>
      <c r="L328" s="57" t="s">
        <v>1859</v>
      </c>
    </row>
    <row r="329" spans="1:12" ht="17.399999999999999" x14ac:dyDescent="0.4">
      <c r="A329" s="37">
        <f t="shared" si="5"/>
        <v>324</v>
      </c>
      <c r="B329" s="38" t="s">
        <v>781</v>
      </c>
      <c r="C329" s="37" t="s">
        <v>782</v>
      </c>
      <c r="D329" s="37" t="s">
        <v>783</v>
      </c>
      <c r="E329" s="78" t="s">
        <v>784</v>
      </c>
      <c r="F329" s="39" t="s">
        <v>785</v>
      </c>
      <c r="G329" s="39" t="s">
        <v>786</v>
      </c>
      <c r="H329" s="41">
        <v>93437441360</v>
      </c>
      <c r="I329" s="42">
        <v>12.07</v>
      </c>
      <c r="J329" s="43">
        <v>44334</v>
      </c>
      <c r="K329" s="43">
        <v>45446</v>
      </c>
      <c r="L329" s="34" t="s">
        <v>787</v>
      </c>
    </row>
    <row r="330" spans="1:12" ht="17.399999999999999" x14ac:dyDescent="0.4">
      <c r="A330" s="37">
        <f t="shared" si="5"/>
        <v>325</v>
      </c>
      <c r="B330" s="38" t="s">
        <v>793</v>
      </c>
      <c r="C330" s="37" t="s">
        <v>794</v>
      </c>
      <c r="D330" s="37" t="s">
        <v>795</v>
      </c>
      <c r="E330" s="78" t="s">
        <v>796</v>
      </c>
      <c r="F330" s="39" t="s">
        <v>523</v>
      </c>
      <c r="G330" s="39" t="s">
        <v>797</v>
      </c>
      <c r="H330" s="41">
        <v>15000000000</v>
      </c>
      <c r="I330" s="42">
        <v>12.8</v>
      </c>
      <c r="J330" s="43">
        <v>45017</v>
      </c>
      <c r="K330" s="43">
        <v>45457</v>
      </c>
      <c r="L330" s="34" t="s">
        <v>798</v>
      </c>
    </row>
    <row r="331" spans="1:12" ht="17.399999999999999" x14ac:dyDescent="0.4">
      <c r="A331" s="37">
        <f t="shared" si="5"/>
        <v>326</v>
      </c>
      <c r="B331" s="38" t="s">
        <v>735</v>
      </c>
      <c r="C331" s="37" t="s">
        <v>736</v>
      </c>
      <c r="D331" s="37" t="s">
        <v>737</v>
      </c>
      <c r="E331" s="80" t="s">
        <v>738</v>
      </c>
      <c r="F331" s="40" t="s">
        <v>739</v>
      </c>
      <c r="G331" s="40" t="s">
        <v>740</v>
      </c>
      <c r="H331" s="46">
        <v>3374000000</v>
      </c>
      <c r="I331" s="42">
        <v>9.91</v>
      </c>
      <c r="J331" s="43">
        <v>45355</v>
      </c>
      <c r="K331" s="43">
        <v>45460</v>
      </c>
      <c r="L331" s="34" t="s">
        <v>741</v>
      </c>
    </row>
    <row r="332" spans="1:12" ht="26.4" x14ac:dyDescent="0.4">
      <c r="A332" s="37">
        <f t="shared" si="5"/>
        <v>327</v>
      </c>
      <c r="B332" s="38" t="s">
        <v>716</v>
      </c>
      <c r="C332" s="37" t="s">
        <v>717</v>
      </c>
      <c r="D332" s="37" t="s">
        <v>718</v>
      </c>
      <c r="E332" s="80" t="s">
        <v>719</v>
      </c>
      <c r="F332" s="39" t="s">
        <v>720</v>
      </c>
      <c r="G332" s="55" t="s">
        <v>721</v>
      </c>
      <c r="H332" s="41">
        <v>17700000000</v>
      </c>
      <c r="I332" s="42">
        <v>32.200000000000003</v>
      </c>
      <c r="J332" s="43">
        <v>44937</v>
      </c>
      <c r="K332" s="44">
        <v>45463</v>
      </c>
      <c r="L332" s="34" t="s">
        <v>722</v>
      </c>
    </row>
    <row r="333" spans="1:12" ht="17.399999999999999" x14ac:dyDescent="0.4">
      <c r="A333" s="37">
        <f t="shared" si="5"/>
        <v>328</v>
      </c>
      <c r="B333" s="38" t="s">
        <v>705</v>
      </c>
      <c r="C333" s="37" t="s">
        <v>706</v>
      </c>
      <c r="D333" s="37" t="s">
        <v>707</v>
      </c>
      <c r="E333" s="80" t="s">
        <v>708</v>
      </c>
      <c r="F333" s="39" t="s">
        <v>709</v>
      </c>
      <c r="G333" s="40" t="s">
        <v>710</v>
      </c>
      <c r="H333" s="41">
        <v>10461000000</v>
      </c>
      <c r="I333" s="42">
        <v>27.99</v>
      </c>
      <c r="J333" s="43">
        <v>45049</v>
      </c>
      <c r="K333" s="43">
        <v>45468</v>
      </c>
      <c r="L333" s="34" t="s">
        <v>711</v>
      </c>
    </row>
    <row r="334" spans="1:12" ht="17.399999999999999" x14ac:dyDescent="0.4">
      <c r="A334" s="37">
        <f t="shared" si="5"/>
        <v>329</v>
      </c>
      <c r="B334" s="38" t="s">
        <v>686</v>
      </c>
      <c r="C334" s="37" t="s">
        <v>687</v>
      </c>
      <c r="D334" s="37" t="s">
        <v>688</v>
      </c>
      <c r="E334" s="80"/>
      <c r="F334" s="39" t="s">
        <v>689</v>
      </c>
      <c r="G334" s="39" t="s">
        <v>690</v>
      </c>
      <c r="H334" s="41">
        <v>620000000000</v>
      </c>
      <c r="I334" s="42">
        <v>64.7</v>
      </c>
      <c r="J334" s="43">
        <v>44682</v>
      </c>
      <c r="K334" s="44">
        <v>45473</v>
      </c>
      <c r="L334" s="34" t="s">
        <v>691</v>
      </c>
    </row>
    <row r="335" spans="1:12" ht="17.399999999999999" x14ac:dyDescent="0.4">
      <c r="A335" s="37">
        <f t="shared" si="5"/>
        <v>330</v>
      </c>
      <c r="B335" s="38" t="s">
        <v>799</v>
      </c>
      <c r="C335" s="37" t="s">
        <v>800</v>
      </c>
      <c r="D335" s="37" t="s">
        <v>801</v>
      </c>
      <c r="E335" s="80" t="s">
        <v>802</v>
      </c>
      <c r="F335" s="39" t="s">
        <v>491</v>
      </c>
      <c r="G335" s="40" t="s">
        <v>803</v>
      </c>
      <c r="H335" s="41">
        <v>23578000000</v>
      </c>
      <c r="I335" s="42">
        <v>19.54</v>
      </c>
      <c r="J335" s="43">
        <v>45133</v>
      </c>
      <c r="K335" s="44">
        <v>45473</v>
      </c>
      <c r="L335" s="34" t="s">
        <v>804</v>
      </c>
    </row>
    <row r="336" spans="1:12" ht="39.6" x14ac:dyDescent="0.4">
      <c r="A336" s="37">
        <f t="shared" si="5"/>
        <v>331</v>
      </c>
      <c r="B336" s="47" t="s">
        <v>1116</v>
      </c>
      <c r="C336" s="48" t="s">
        <v>1117</v>
      </c>
      <c r="D336" s="48" t="s">
        <v>1118</v>
      </c>
      <c r="E336" s="114"/>
      <c r="F336" s="50" t="s">
        <v>1119</v>
      </c>
      <c r="G336" s="49" t="s">
        <v>1120</v>
      </c>
      <c r="H336" s="51">
        <v>33359785050</v>
      </c>
      <c r="I336" s="52">
        <v>63.24</v>
      </c>
      <c r="J336" s="53">
        <v>44908</v>
      </c>
      <c r="K336" s="54">
        <v>45473</v>
      </c>
      <c r="L336" s="66" t="s">
        <v>1121</v>
      </c>
    </row>
    <row r="337" spans="1:12" ht="17.399999999999999" x14ac:dyDescent="0.4">
      <c r="A337" s="37">
        <f t="shared" si="5"/>
        <v>332</v>
      </c>
      <c r="B337" s="38" t="s">
        <v>1143</v>
      </c>
      <c r="C337" s="37" t="s">
        <v>1144</v>
      </c>
      <c r="D337" s="37" t="s">
        <v>1145</v>
      </c>
      <c r="E337" s="80" t="s">
        <v>1146</v>
      </c>
      <c r="F337" s="39" t="s">
        <v>1147</v>
      </c>
      <c r="G337" s="40" t="s">
        <v>1148</v>
      </c>
      <c r="H337" s="41">
        <v>31424290000</v>
      </c>
      <c r="I337" s="42">
        <v>62.7</v>
      </c>
      <c r="J337" s="43">
        <v>44740</v>
      </c>
      <c r="K337" s="44">
        <v>45473</v>
      </c>
      <c r="L337" s="66" t="s">
        <v>1149</v>
      </c>
    </row>
    <row r="338" spans="1:12" ht="17.399999999999999" x14ac:dyDescent="0.4">
      <c r="A338" s="37">
        <f t="shared" si="5"/>
        <v>333</v>
      </c>
      <c r="B338" s="38" t="s">
        <v>194</v>
      </c>
      <c r="C338" s="37"/>
      <c r="D338" s="37" t="s">
        <v>1652</v>
      </c>
      <c r="E338" s="115"/>
      <c r="F338" s="39" t="s">
        <v>937</v>
      </c>
      <c r="G338" s="39" t="s">
        <v>1939</v>
      </c>
      <c r="H338" s="41">
        <v>25690780000</v>
      </c>
      <c r="I338" s="42">
        <v>7.6</v>
      </c>
      <c r="J338" s="43">
        <v>44708</v>
      </c>
      <c r="K338" s="43">
        <v>45473</v>
      </c>
      <c r="L338" s="57" t="s">
        <v>1940</v>
      </c>
    </row>
    <row r="339" spans="1:12" ht="17.399999999999999" x14ac:dyDescent="0.4">
      <c r="A339" s="37">
        <f t="shared" si="5"/>
        <v>334</v>
      </c>
      <c r="B339" s="38" t="s">
        <v>2151</v>
      </c>
      <c r="C339" s="37"/>
      <c r="D339" s="37" t="s">
        <v>2152</v>
      </c>
      <c r="E339" s="78"/>
      <c r="F339" s="39" t="s">
        <v>2153</v>
      </c>
      <c r="G339" s="39" t="s">
        <v>2154</v>
      </c>
      <c r="H339" s="41">
        <v>531000000000</v>
      </c>
      <c r="I339" s="42">
        <v>227.21</v>
      </c>
      <c r="J339" s="43">
        <v>44562</v>
      </c>
      <c r="K339" s="44">
        <v>45473</v>
      </c>
      <c r="L339" s="57" t="s">
        <v>2155</v>
      </c>
    </row>
    <row r="340" spans="1:12" ht="17.399999999999999" x14ac:dyDescent="0.4">
      <c r="A340" s="37">
        <f t="shared" si="5"/>
        <v>335</v>
      </c>
      <c r="B340" s="38" t="s">
        <v>194</v>
      </c>
      <c r="C340" s="37" t="s">
        <v>867</v>
      </c>
      <c r="D340" s="37" t="s">
        <v>868</v>
      </c>
      <c r="E340" s="78" t="s">
        <v>869</v>
      </c>
      <c r="F340" s="40" t="s">
        <v>673</v>
      </c>
      <c r="G340" s="40" t="s">
        <v>870</v>
      </c>
      <c r="H340" s="41">
        <v>24276287000</v>
      </c>
      <c r="I340" s="42">
        <v>10.1</v>
      </c>
      <c r="J340" s="43">
        <v>44676</v>
      </c>
      <c r="K340" s="44">
        <v>45504</v>
      </c>
      <c r="L340" s="34" t="s">
        <v>871</v>
      </c>
    </row>
    <row r="341" spans="1:12" ht="39.6" x14ac:dyDescent="0.4">
      <c r="A341" s="37">
        <f t="shared" si="5"/>
        <v>336</v>
      </c>
      <c r="B341" s="38" t="s">
        <v>1247</v>
      </c>
      <c r="C341" s="37"/>
      <c r="D341" s="37" t="s">
        <v>1248</v>
      </c>
      <c r="E341" s="78"/>
      <c r="F341" s="39" t="s">
        <v>1249</v>
      </c>
      <c r="G341" s="40" t="s">
        <v>1250</v>
      </c>
      <c r="H341" s="41">
        <v>52800000000</v>
      </c>
      <c r="I341" s="42">
        <v>6.6</v>
      </c>
      <c r="J341" s="43">
        <v>45180</v>
      </c>
      <c r="K341" s="43">
        <v>45504</v>
      </c>
      <c r="L341" s="66" t="s">
        <v>1251</v>
      </c>
    </row>
    <row r="342" spans="1:12" ht="17.399999999999999" x14ac:dyDescent="0.4">
      <c r="A342" s="37">
        <f t="shared" si="5"/>
        <v>337</v>
      </c>
      <c r="B342" s="38" t="s">
        <v>1339</v>
      </c>
      <c r="C342" s="37"/>
      <c r="D342" s="37" t="s">
        <v>1340</v>
      </c>
      <c r="E342" s="80"/>
      <c r="F342" s="39" t="s">
        <v>491</v>
      </c>
      <c r="G342" s="40" t="s">
        <v>1341</v>
      </c>
      <c r="H342" s="41">
        <v>4390000000</v>
      </c>
      <c r="I342" s="42">
        <v>12.31</v>
      </c>
      <c r="J342" s="43">
        <v>44770</v>
      </c>
      <c r="K342" s="44">
        <v>45504</v>
      </c>
      <c r="L342" s="57" t="s">
        <v>1342</v>
      </c>
    </row>
    <row r="343" spans="1:12" ht="17.399999999999999" x14ac:dyDescent="0.4">
      <c r="A343" s="37">
        <f t="shared" si="5"/>
        <v>338</v>
      </c>
      <c r="B343" s="38" t="s">
        <v>477</v>
      </c>
      <c r="C343" s="37"/>
      <c r="D343" s="37" t="s">
        <v>756</v>
      </c>
      <c r="E343" s="78"/>
      <c r="F343" s="39" t="s">
        <v>757</v>
      </c>
      <c r="G343" s="39" t="s">
        <v>758</v>
      </c>
      <c r="H343" s="41">
        <v>31691700000</v>
      </c>
      <c r="I343" s="42">
        <v>18.559999999999999</v>
      </c>
      <c r="J343" s="43">
        <v>45454</v>
      </c>
      <c r="K343" s="44">
        <v>45519</v>
      </c>
      <c r="L343" s="34" t="s">
        <v>759</v>
      </c>
    </row>
    <row r="344" spans="1:12" ht="26.4" x14ac:dyDescent="0.4">
      <c r="A344" s="37">
        <f t="shared" si="5"/>
        <v>339</v>
      </c>
      <c r="B344" s="38" t="s">
        <v>533</v>
      </c>
      <c r="C344" s="37" t="s">
        <v>534</v>
      </c>
      <c r="D344" s="37" t="s">
        <v>535</v>
      </c>
      <c r="E344" s="78" t="s">
        <v>536</v>
      </c>
      <c r="F344" s="39" t="s">
        <v>491</v>
      </c>
      <c r="G344" s="40" t="s">
        <v>537</v>
      </c>
      <c r="H344" s="41">
        <v>1760000000</v>
      </c>
      <c r="I344" s="42">
        <v>8.3800000000000008</v>
      </c>
      <c r="J344" s="43">
        <v>44798</v>
      </c>
      <c r="K344" s="43">
        <v>45528</v>
      </c>
      <c r="L344" s="34" t="s">
        <v>538</v>
      </c>
    </row>
    <row r="345" spans="1:12" ht="17.399999999999999" x14ac:dyDescent="0.4">
      <c r="A345" s="37">
        <f t="shared" si="5"/>
        <v>340</v>
      </c>
      <c r="B345" s="38" t="s">
        <v>585</v>
      </c>
      <c r="C345" s="37" t="s">
        <v>586</v>
      </c>
      <c r="D345" s="37" t="s">
        <v>488</v>
      </c>
      <c r="E345" s="80" t="s">
        <v>587</v>
      </c>
      <c r="F345" s="40" t="s">
        <v>588</v>
      </c>
      <c r="G345" s="40" t="s">
        <v>589</v>
      </c>
      <c r="H345" s="46">
        <v>510000000</v>
      </c>
      <c r="I345" s="42">
        <v>3</v>
      </c>
      <c r="J345" s="43">
        <v>45348</v>
      </c>
      <c r="K345" s="43">
        <v>45534</v>
      </c>
      <c r="L345" s="34" t="s">
        <v>590</v>
      </c>
    </row>
    <row r="346" spans="1:12" ht="17.399999999999999" x14ac:dyDescent="0.4">
      <c r="A346" s="37">
        <f t="shared" si="5"/>
        <v>341</v>
      </c>
      <c r="B346" s="38" t="s">
        <v>1189</v>
      </c>
      <c r="C346" s="37"/>
      <c r="D346" s="37" t="s">
        <v>2048</v>
      </c>
      <c r="E346" s="79"/>
      <c r="F346" s="39" t="s">
        <v>491</v>
      </c>
      <c r="G346" s="39" t="s">
        <v>2052</v>
      </c>
      <c r="H346" s="41">
        <v>254101870000</v>
      </c>
      <c r="I346" s="42">
        <v>5</v>
      </c>
      <c r="J346" s="43">
        <v>44610</v>
      </c>
      <c r="K346" s="43">
        <v>45534</v>
      </c>
      <c r="L346" s="57" t="s">
        <v>2053</v>
      </c>
    </row>
    <row r="347" spans="1:12" ht="17.399999999999999" x14ac:dyDescent="0.4">
      <c r="A347" s="37">
        <f t="shared" si="5"/>
        <v>342</v>
      </c>
      <c r="B347" s="38" t="s">
        <v>513</v>
      </c>
      <c r="C347" s="37" t="s">
        <v>514</v>
      </c>
      <c r="D347" s="37" t="s">
        <v>509</v>
      </c>
      <c r="E347" s="80" t="s">
        <v>515</v>
      </c>
      <c r="F347" s="39" t="s">
        <v>516</v>
      </c>
      <c r="G347" s="40" t="s">
        <v>517</v>
      </c>
      <c r="H347" s="41">
        <v>8933500000</v>
      </c>
      <c r="I347" s="42">
        <v>11.88</v>
      </c>
      <c r="J347" s="43">
        <v>45282</v>
      </c>
      <c r="K347" s="43">
        <v>45535</v>
      </c>
      <c r="L347" s="8" t="s">
        <v>518</v>
      </c>
    </row>
    <row r="348" spans="1:12" ht="17.399999999999999" x14ac:dyDescent="0.4">
      <c r="A348" s="37">
        <f t="shared" si="5"/>
        <v>343</v>
      </c>
      <c r="B348" s="47" t="s">
        <v>591</v>
      </c>
      <c r="C348" s="48" t="s">
        <v>592</v>
      </c>
      <c r="D348" s="48" t="s">
        <v>593</v>
      </c>
      <c r="E348" s="114" t="s">
        <v>594</v>
      </c>
      <c r="F348" s="50" t="s">
        <v>595</v>
      </c>
      <c r="G348" s="50" t="s">
        <v>596</v>
      </c>
      <c r="H348" s="51">
        <v>87804418000</v>
      </c>
      <c r="I348" s="52">
        <v>77.62</v>
      </c>
      <c r="J348" s="53">
        <v>44593</v>
      </c>
      <c r="K348" s="54">
        <v>45535</v>
      </c>
      <c r="L348" s="34" t="s">
        <v>597</v>
      </c>
    </row>
    <row r="349" spans="1:12" ht="17.399999999999999" x14ac:dyDescent="0.4">
      <c r="A349" s="37">
        <f t="shared" si="5"/>
        <v>344</v>
      </c>
      <c r="B349" s="38" t="s">
        <v>598</v>
      </c>
      <c r="C349" s="37" t="s">
        <v>599</v>
      </c>
      <c r="D349" s="37" t="s">
        <v>593</v>
      </c>
      <c r="E349" s="78" t="s">
        <v>600</v>
      </c>
      <c r="F349" s="39" t="s">
        <v>601</v>
      </c>
      <c r="G349" s="39" t="s">
        <v>602</v>
      </c>
      <c r="H349" s="41">
        <v>22151000000</v>
      </c>
      <c r="I349" s="42">
        <v>92.77</v>
      </c>
      <c r="J349" s="43">
        <v>45017</v>
      </c>
      <c r="K349" s="43">
        <v>45535</v>
      </c>
      <c r="L349" s="34" t="s">
        <v>603</v>
      </c>
    </row>
    <row r="350" spans="1:12" ht="75.75" customHeight="1" x14ac:dyDescent="0.4">
      <c r="A350" s="37">
        <f t="shared" si="5"/>
        <v>345</v>
      </c>
      <c r="B350" s="38" t="s">
        <v>1575</v>
      </c>
      <c r="C350" s="37" t="s">
        <v>1334</v>
      </c>
      <c r="D350" s="37" t="s">
        <v>1576</v>
      </c>
      <c r="E350" s="39" t="s">
        <v>1577</v>
      </c>
      <c r="F350" s="39" t="s">
        <v>601</v>
      </c>
      <c r="G350" s="40" t="s">
        <v>1578</v>
      </c>
      <c r="H350" s="41">
        <v>18700000000</v>
      </c>
      <c r="I350" s="42">
        <v>28.6</v>
      </c>
      <c r="J350" s="43">
        <v>45047</v>
      </c>
      <c r="K350" s="43">
        <v>45535</v>
      </c>
      <c r="L350" s="57" t="s">
        <v>1579</v>
      </c>
    </row>
    <row r="351" spans="1:12" ht="48" customHeight="1" x14ac:dyDescent="0.4">
      <c r="A351" s="37">
        <f t="shared" si="5"/>
        <v>346</v>
      </c>
      <c r="B351" s="38" t="s">
        <v>1821</v>
      </c>
      <c r="C351" s="37"/>
      <c r="D351" s="37" t="s">
        <v>1822</v>
      </c>
      <c r="E351" s="39"/>
      <c r="F351" s="39" t="s">
        <v>491</v>
      </c>
      <c r="G351" s="40" t="s">
        <v>1823</v>
      </c>
      <c r="H351" s="41">
        <v>650000000000</v>
      </c>
      <c r="I351" s="42">
        <v>102.33</v>
      </c>
      <c r="J351" s="43">
        <v>44795</v>
      </c>
      <c r="K351" s="43">
        <v>45535</v>
      </c>
      <c r="L351" s="76" t="s">
        <v>1824</v>
      </c>
    </row>
    <row r="352" spans="1:12" ht="17.399999999999999" x14ac:dyDescent="0.4">
      <c r="A352" s="37">
        <f t="shared" si="5"/>
        <v>347</v>
      </c>
      <c r="B352" s="38" t="s">
        <v>487</v>
      </c>
      <c r="C352" s="37" t="s">
        <v>488</v>
      </c>
      <c r="D352" s="37" t="s">
        <v>489</v>
      </c>
      <c r="E352" s="40" t="s">
        <v>490</v>
      </c>
      <c r="F352" s="39" t="s">
        <v>491</v>
      </c>
      <c r="G352" s="39" t="s">
        <v>492</v>
      </c>
      <c r="H352" s="41">
        <v>4012965600</v>
      </c>
      <c r="I352" s="42">
        <v>19.13</v>
      </c>
      <c r="J352" s="43">
        <v>45063</v>
      </c>
      <c r="K352" s="43">
        <v>45541</v>
      </c>
      <c r="L352" s="8" t="s">
        <v>493</v>
      </c>
    </row>
    <row r="353" spans="1:12" ht="17.399999999999999" x14ac:dyDescent="0.4">
      <c r="A353" s="37">
        <f t="shared" si="5"/>
        <v>348</v>
      </c>
      <c r="B353" s="38" t="s">
        <v>519</v>
      </c>
      <c r="C353" s="37" t="s">
        <v>520</v>
      </c>
      <c r="D353" s="37" t="s">
        <v>521</v>
      </c>
      <c r="E353" s="40" t="s">
        <v>522</v>
      </c>
      <c r="F353" s="39" t="s">
        <v>523</v>
      </c>
      <c r="G353" s="40" t="s">
        <v>524</v>
      </c>
      <c r="H353" s="41">
        <v>50923000000</v>
      </c>
      <c r="I353" s="42">
        <v>14.7</v>
      </c>
      <c r="J353" s="43">
        <v>44921</v>
      </c>
      <c r="K353" s="44">
        <v>45565</v>
      </c>
      <c r="L353" s="34" t="s">
        <v>525</v>
      </c>
    </row>
    <row r="354" spans="1:12" ht="17.399999999999999" x14ac:dyDescent="0.4">
      <c r="A354" s="37">
        <f t="shared" si="5"/>
        <v>349</v>
      </c>
      <c r="B354" s="38" t="s">
        <v>649</v>
      </c>
      <c r="C354" s="37" t="s">
        <v>650</v>
      </c>
      <c r="D354" s="37" t="s">
        <v>651</v>
      </c>
      <c r="E354" s="39" t="s">
        <v>652</v>
      </c>
      <c r="F354" s="40" t="s">
        <v>653</v>
      </c>
      <c r="G354" s="40" t="s">
        <v>654</v>
      </c>
      <c r="H354" s="41">
        <v>48430000000</v>
      </c>
      <c r="I354" s="42">
        <v>22.4</v>
      </c>
      <c r="J354" s="43">
        <v>44999</v>
      </c>
      <c r="K354" s="43">
        <v>45565</v>
      </c>
      <c r="L354" s="34" t="s">
        <v>655</v>
      </c>
    </row>
    <row r="355" spans="1:12" ht="17.399999999999999" x14ac:dyDescent="0.4">
      <c r="A355" s="37">
        <f t="shared" si="5"/>
        <v>350</v>
      </c>
      <c r="B355" s="38" t="s">
        <v>680</v>
      </c>
      <c r="C355" s="37" t="s">
        <v>681</v>
      </c>
      <c r="D355" s="37" t="s">
        <v>682</v>
      </c>
      <c r="E355" s="39"/>
      <c r="F355" s="36" t="s">
        <v>683</v>
      </c>
      <c r="G355" s="40" t="s">
        <v>684</v>
      </c>
      <c r="H355" s="41">
        <v>13000000000</v>
      </c>
      <c r="I355" s="42">
        <v>18.57</v>
      </c>
      <c r="J355" s="43">
        <v>45108</v>
      </c>
      <c r="K355" s="43">
        <v>45565</v>
      </c>
      <c r="L355" s="8" t="s">
        <v>685</v>
      </c>
    </row>
    <row r="356" spans="1:12" ht="17.399999999999999" x14ac:dyDescent="0.4">
      <c r="A356" s="37">
        <f t="shared" si="5"/>
        <v>351</v>
      </c>
      <c r="B356" s="38" t="s">
        <v>760</v>
      </c>
      <c r="C356" s="37" t="s">
        <v>761</v>
      </c>
      <c r="D356" s="37" t="s">
        <v>762</v>
      </c>
      <c r="E356" s="40" t="s">
        <v>763</v>
      </c>
      <c r="F356" s="39" t="s">
        <v>764</v>
      </c>
      <c r="G356" s="40" t="s">
        <v>765</v>
      </c>
      <c r="H356" s="41">
        <v>12341200000</v>
      </c>
      <c r="I356" s="42">
        <v>20.239999999999998</v>
      </c>
      <c r="J356" s="43">
        <v>45259</v>
      </c>
      <c r="K356" s="43">
        <v>45565</v>
      </c>
      <c r="L356" s="34" t="s">
        <v>766</v>
      </c>
    </row>
    <row r="357" spans="1:12" ht="17.399999999999999" x14ac:dyDescent="0.4">
      <c r="A357" s="37">
        <f t="shared" si="5"/>
        <v>352</v>
      </c>
      <c r="B357" s="38" t="s">
        <v>805</v>
      </c>
      <c r="C357" s="37" t="s">
        <v>806</v>
      </c>
      <c r="D357" s="37" t="s">
        <v>807</v>
      </c>
      <c r="E357" s="40" t="s">
        <v>808</v>
      </c>
      <c r="F357" s="40" t="s">
        <v>809</v>
      </c>
      <c r="G357" s="40" t="s">
        <v>810</v>
      </c>
      <c r="H357" s="46">
        <v>70571115700</v>
      </c>
      <c r="I357" s="42">
        <v>9.86</v>
      </c>
      <c r="J357" s="43">
        <v>45383</v>
      </c>
      <c r="K357" s="43">
        <v>45565</v>
      </c>
      <c r="L357" s="34" t="s">
        <v>811</v>
      </c>
    </row>
    <row r="358" spans="1:12" ht="26.4" x14ac:dyDescent="0.4">
      <c r="A358" s="37">
        <f t="shared" si="5"/>
        <v>353</v>
      </c>
      <c r="B358" s="38" t="s">
        <v>59</v>
      </c>
      <c r="C358" s="37"/>
      <c r="D358" s="37" t="s">
        <v>1194</v>
      </c>
      <c r="E358" s="40"/>
      <c r="F358" s="39" t="s">
        <v>491</v>
      </c>
      <c r="G358" s="40" t="s">
        <v>1195</v>
      </c>
      <c r="H358" s="41">
        <v>19000000000</v>
      </c>
      <c r="I358" s="42">
        <v>12.6</v>
      </c>
      <c r="J358" s="43">
        <v>45222</v>
      </c>
      <c r="K358" s="43">
        <v>45565</v>
      </c>
      <c r="L358" s="66" t="s">
        <v>1196</v>
      </c>
    </row>
    <row r="359" spans="1:12" ht="17.399999999999999" x14ac:dyDescent="0.4">
      <c r="A359" s="37">
        <f t="shared" si="5"/>
        <v>354</v>
      </c>
      <c r="B359" s="38" t="s">
        <v>1255</v>
      </c>
      <c r="C359" s="37"/>
      <c r="D359" s="37" t="s">
        <v>1257</v>
      </c>
      <c r="E359" s="39"/>
      <c r="F359" s="39" t="s">
        <v>1259</v>
      </c>
      <c r="G359" s="40" t="s">
        <v>1262</v>
      </c>
      <c r="H359" s="41">
        <v>31570000000</v>
      </c>
      <c r="I359" s="42">
        <v>36.380000000000003</v>
      </c>
      <c r="J359" s="43">
        <v>45250</v>
      </c>
      <c r="K359" s="43">
        <v>45565</v>
      </c>
      <c r="L359" s="66" t="s">
        <v>1263</v>
      </c>
    </row>
    <row r="360" spans="1:12" ht="17.399999999999999" x14ac:dyDescent="0.4">
      <c r="A360" s="37">
        <f t="shared" si="5"/>
        <v>355</v>
      </c>
      <c r="B360" s="38" t="s">
        <v>1346</v>
      </c>
      <c r="C360" s="37"/>
      <c r="D360" s="37" t="s">
        <v>1347</v>
      </c>
      <c r="E360" s="40"/>
      <c r="F360" s="39" t="s">
        <v>696</v>
      </c>
      <c r="G360" s="40" t="s">
        <v>1348</v>
      </c>
      <c r="H360" s="41">
        <v>29713218324</v>
      </c>
      <c r="I360" s="42">
        <v>41.06</v>
      </c>
      <c r="J360" s="43">
        <v>45128</v>
      </c>
      <c r="K360" s="44">
        <v>45565</v>
      </c>
      <c r="L360" s="70" t="s">
        <v>1349</v>
      </c>
    </row>
    <row r="361" spans="1:12" ht="39.6" x14ac:dyDescent="0.4">
      <c r="A361" s="37">
        <f t="shared" si="5"/>
        <v>356</v>
      </c>
      <c r="B361" s="38" t="s">
        <v>1363</v>
      </c>
      <c r="C361" s="37" t="s">
        <v>1320</v>
      </c>
      <c r="D361" s="37" t="s">
        <v>1265</v>
      </c>
      <c r="E361" s="39" t="s">
        <v>1364</v>
      </c>
      <c r="F361" s="39" t="s">
        <v>1365</v>
      </c>
      <c r="G361" s="40" t="s">
        <v>1366</v>
      </c>
      <c r="H361" s="41">
        <v>40595000000</v>
      </c>
      <c r="I361" s="42">
        <v>8.77</v>
      </c>
      <c r="J361" s="43">
        <v>44361</v>
      </c>
      <c r="K361" s="43">
        <v>45565</v>
      </c>
      <c r="L361" s="57" t="s">
        <v>1367</v>
      </c>
    </row>
    <row r="362" spans="1:12" ht="17.399999999999999" x14ac:dyDescent="0.4">
      <c r="A362" s="37">
        <f t="shared" si="5"/>
        <v>357</v>
      </c>
      <c r="B362" s="38" t="s">
        <v>1440</v>
      </c>
      <c r="C362" s="37"/>
      <c r="D362" s="37" t="s">
        <v>1441</v>
      </c>
      <c r="E362" s="40"/>
      <c r="F362" s="39" t="s">
        <v>491</v>
      </c>
      <c r="G362" s="40" t="s">
        <v>1442</v>
      </c>
      <c r="H362" s="41">
        <v>135300000000</v>
      </c>
      <c r="I362" s="42">
        <v>156.4</v>
      </c>
      <c r="J362" s="43" t="s">
        <v>1077</v>
      </c>
      <c r="K362" s="43">
        <v>45565</v>
      </c>
      <c r="L362" s="57" t="s">
        <v>1443</v>
      </c>
    </row>
    <row r="363" spans="1:12" ht="17.399999999999999" x14ac:dyDescent="0.4">
      <c r="A363" s="37">
        <f t="shared" si="5"/>
        <v>358</v>
      </c>
      <c r="B363" s="38" t="s">
        <v>1533</v>
      </c>
      <c r="C363" s="37" t="s">
        <v>1534</v>
      </c>
      <c r="D363" s="37" t="s">
        <v>794</v>
      </c>
      <c r="E363" s="39" t="s">
        <v>1535</v>
      </c>
      <c r="F363" s="39" t="s">
        <v>1536</v>
      </c>
      <c r="G363" s="39" t="s">
        <v>1537</v>
      </c>
      <c r="H363" s="41">
        <v>7938000000</v>
      </c>
      <c r="I363" s="42">
        <v>12.59</v>
      </c>
      <c r="J363" s="43">
        <v>44012</v>
      </c>
      <c r="K363" s="43">
        <v>45565</v>
      </c>
      <c r="L363" s="57" t="s">
        <v>1538</v>
      </c>
    </row>
    <row r="364" spans="1:12" ht="26.4" x14ac:dyDescent="0.4">
      <c r="A364" s="37">
        <f t="shared" si="5"/>
        <v>359</v>
      </c>
      <c r="B364" s="38" t="s">
        <v>1692</v>
      </c>
      <c r="C364" s="37"/>
      <c r="D364" s="37" t="s">
        <v>1693</v>
      </c>
      <c r="F364" s="39" t="s">
        <v>1694</v>
      </c>
      <c r="G364" s="40" t="s">
        <v>1695</v>
      </c>
      <c r="H364" s="41">
        <v>24570000000</v>
      </c>
      <c r="I364" s="42">
        <v>9.1199999999999992</v>
      </c>
      <c r="J364" s="43">
        <v>44890</v>
      </c>
      <c r="K364" s="43">
        <v>45565</v>
      </c>
      <c r="L364" s="57" t="s">
        <v>1696</v>
      </c>
    </row>
    <row r="365" spans="1:12" ht="17.399999999999999" x14ac:dyDescent="0.4">
      <c r="A365" s="37">
        <f t="shared" si="5"/>
        <v>360</v>
      </c>
      <c r="B365" s="38" t="s">
        <v>1887</v>
      </c>
      <c r="C365" s="37"/>
      <c r="D365" s="37" t="s">
        <v>1430</v>
      </c>
      <c r="E365" s="39"/>
      <c r="F365" s="39" t="s">
        <v>523</v>
      </c>
      <c r="G365" s="39" t="s">
        <v>1888</v>
      </c>
      <c r="H365" s="41">
        <v>20619140000</v>
      </c>
      <c r="I365" s="42">
        <v>7.57</v>
      </c>
      <c r="J365" s="43">
        <v>44749</v>
      </c>
      <c r="K365" s="43">
        <v>45565</v>
      </c>
      <c r="L365" s="57" t="s">
        <v>1889</v>
      </c>
    </row>
    <row r="366" spans="1:12" ht="26.4" x14ac:dyDescent="0.4">
      <c r="A366" s="37">
        <f t="shared" si="5"/>
        <v>361</v>
      </c>
      <c r="B366" s="38" t="s">
        <v>1557</v>
      </c>
      <c r="C366" s="37"/>
      <c r="D366" s="37" t="s">
        <v>1652</v>
      </c>
      <c r="E366" s="55"/>
      <c r="F366" s="39" t="s">
        <v>1343</v>
      </c>
      <c r="G366" s="55" t="s">
        <v>1941</v>
      </c>
      <c r="H366" s="41">
        <v>351197400000</v>
      </c>
      <c r="I366" s="42">
        <v>14.4</v>
      </c>
      <c r="J366" s="43">
        <v>44713</v>
      </c>
      <c r="K366" s="43">
        <v>45565</v>
      </c>
      <c r="L366" s="57" t="s">
        <v>1942</v>
      </c>
    </row>
    <row r="367" spans="1:12" ht="26.4" x14ac:dyDescent="0.4">
      <c r="A367" s="37">
        <f t="shared" si="5"/>
        <v>362</v>
      </c>
      <c r="B367" s="38" t="s">
        <v>494</v>
      </c>
      <c r="C367" s="37" t="s">
        <v>495</v>
      </c>
      <c r="D367" s="37" t="s">
        <v>496</v>
      </c>
      <c r="E367" s="40" t="s">
        <v>497</v>
      </c>
      <c r="F367" s="39" t="s">
        <v>491</v>
      </c>
      <c r="G367" s="40" t="s">
        <v>498</v>
      </c>
      <c r="H367" s="41">
        <v>28000000000</v>
      </c>
      <c r="I367" s="42">
        <v>23.9</v>
      </c>
      <c r="J367" s="43">
        <v>45082</v>
      </c>
      <c r="K367" s="43">
        <v>45570</v>
      </c>
      <c r="L367" s="34" t="s">
        <v>499</v>
      </c>
    </row>
    <row r="368" spans="1:12" ht="26.4" x14ac:dyDescent="0.4">
      <c r="A368" s="37">
        <f t="shared" si="5"/>
        <v>363</v>
      </c>
      <c r="B368" s="38" t="s">
        <v>1209</v>
      </c>
      <c r="C368" s="37"/>
      <c r="D368" s="37" t="s">
        <v>1210</v>
      </c>
      <c r="E368" s="40"/>
      <c r="F368" s="39" t="s">
        <v>1211</v>
      </c>
      <c r="G368" s="40" t="s">
        <v>1212</v>
      </c>
      <c r="H368" s="41">
        <v>60000000000</v>
      </c>
      <c r="I368" s="42">
        <v>10.38</v>
      </c>
      <c r="J368" s="43">
        <v>45209</v>
      </c>
      <c r="K368" s="43">
        <v>45575</v>
      </c>
      <c r="L368" s="65" t="s">
        <v>1213</v>
      </c>
    </row>
    <row r="369" spans="1:12" ht="17.399999999999999" x14ac:dyDescent="0.4">
      <c r="A369" s="37">
        <f t="shared" si="5"/>
        <v>364</v>
      </c>
      <c r="B369" s="38" t="s">
        <v>877</v>
      </c>
      <c r="C369" s="37" t="s">
        <v>878</v>
      </c>
      <c r="D369" s="37" t="s">
        <v>806</v>
      </c>
      <c r="E369" s="40" t="s">
        <v>879</v>
      </c>
      <c r="F369" s="39" t="s">
        <v>880</v>
      </c>
      <c r="G369" s="40" t="s">
        <v>881</v>
      </c>
      <c r="H369" s="41">
        <v>212030000000</v>
      </c>
      <c r="I369" s="42">
        <v>10</v>
      </c>
      <c r="J369" s="43">
        <v>44819</v>
      </c>
      <c r="K369" s="44">
        <v>45580</v>
      </c>
      <c r="L369" s="34" t="s">
        <v>882</v>
      </c>
    </row>
    <row r="370" spans="1:12" ht="39.6" x14ac:dyDescent="0.4">
      <c r="A370" s="37">
        <f t="shared" si="5"/>
        <v>365</v>
      </c>
      <c r="B370" s="38" t="s">
        <v>877</v>
      </c>
      <c r="C370" s="37"/>
      <c r="D370" s="37" t="s">
        <v>1787</v>
      </c>
      <c r="E370" s="40"/>
      <c r="F370" s="40" t="s">
        <v>1788</v>
      </c>
      <c r="G370" s="40" t="s">
        <v>1789</v>
      </c>
      <c r="H370" s="41">
        <v>178100000000</v>
      </c>
      <c r="I370" s="42">
        <v>8.4</v>
      </c>
      <c r="J370" s="43">
        <v>44819</v>
      </c>
      <c r="K370" s="43">
        <v>45580</v>
      </c>
      <c r="L370" s="57" t="s">
        <v>1790</v>
      </c>
    </row>
    <row r="371" spans="1:12" ht="17.399999999999999" x14ac:dyDescent="0.4">
      <c r="A371" s="37">
        <f t="shared" si="5"/>
        <v>366</v>
      </c>
      <c r="B371" s="38" t="s">
        <v>1825</v>
      </c>
      <c r="C371" s="37"/>
      <c r="D371" s="37" t="s">
        <v>2518</v>
      </c>
      <c r="E371" s="39"/>
      <c r="F371" s="39" t="s">
        <v>2519</v>
      </c>
      <c r="G371" s="39" t="s">
        <v>1828</v>
      </c>
      <c r="H371" s="41">
        <v>406700416800</v>
      </c>
      <c r="I371" s="42">
        <v>14.03</v>
      </c>
      <c r="J371" s="43">
        <v>44180</v>
      </c>
      <c r="K371" s="43">
        <v>45580</v>
      </c>
      <c r="L371" s="74" t="s">
        <v>2520</v>
      </c>
    </row>
    <row r="372" spans="1:12" ht="17.399999999999999" x14ac:dyDescent="0.4">
      <c r="A372" s="37">
        <f t="shared" si="5"/>
        <v>367</v>
      </c>
      <c r="B372" s="38" t="s">
        <v>1200</v>
      </c>
      <c r="C372" s="37"/>
      <c r="D372" s="37" t="s">
        <v>1201</v>
      </c>
      <c r="E372" s="40"/>
      <c r="F372" s="39" t="s">
        <v>491</v>
      </c>
      <c r="G372" s="40" t="s">
        <v>1202</v>
      </c>
      <c r="H372" s="41">
        <v>20000000000</v>
      </c>
      <c r="I372" s="42">
        <v>16.739999999999998</v>
      </c>
      <c r="J372" s="43">
        <v>45215</v>
      </c>
      <c r="K372" s="43">
        <v>45581</v>
      </c>
      <c r="L372" s="66" t="s">
        <v>1203</v>
      </c>
    </row>
    <row r="373" spans="1:12" ht="26.4" x14ac:dyDescent="0.4">
      <c r="A373" s="37">
        <f t="shared" si="5"/>
        <v>368</v>
      </c>
      <c r="B373" s="38" t="s">
        <v>1444</v>
      </c>
      <c r="C373" s="37"/>
      <c r="D373" s="37" t="s">
        <v>1445</v>
      </c>
      <c r="E373" s="40"/>
      <c r="F373" s="39" t="s">
        <v>491</v>
      </c>
      <c r="G373" s="40" t="s">
        <v>1446</v>
      </c>
      <c r="H373" s="41">
        <v>76809000000</v>
      </c>
      <c r="I373" s="42">
        <v>66.81</v>
      </c>
      <c r="J373" s="43">
        <v>45070</v>
      </c>
      <c r="K373" s="43">
        <v>45588</v>
      </c>
      <c r="L373" s="70" t="s">
        <v>1443</v>
      </c>
    </row>
    <row r="374" spans="1:12" ht="26.4" x14ac:dyDescent="0.4">
      <c r="A374" s="37">
        <f t="shared" si="5"/>
        <v>369</v>
      </c>
      <c r="B374" s="38" t="s">
        <v>1407</v>
      </c>
      <c r="C374" s="37"/>
      <c r="D374" s="37" t="s">
        <v>1397</v>
      </c>
      <c r="E374" s="40"/>
      <c r="F374" s="39" t="s">
        <v>1408</v>
      </c>
      <c r="G374" s="40" t="s">
        <v>1409</v>
      </c>
      <c r="H374" s="41">
        <v>14100000000</v>
      </c>
      <c r="I374" s="42">
        <v>10</v>
      </c>
      <c r="J374" s="43">
        <v>45127</v>
      </c>
      <c r="K374" s="43">
        <v>45595</v>
      </c>
      <c r="L374" s="57" t="s">
        <v>1410</v>
      </c>
    </row>
    <row r="375" spans="1:12" ht="17.399999999999999" x14ac:dyDescent="0.4">
      <c r="A375" s="37">
        <f t="shared" si="5"/>
        <v>370</v>
      </c>
      <c r="B375" s="38" t="s">
        <v>573</v>
      </c>
      <c r="C375" s="37" t="s">
        <v>574</v>
      </c>
      <c r="D375" s="37" t="s">
        <v>575</v>
      </c>
      <c r="E375" s="39" t="s">
        <v>576</v>
      </c>
      <c r="F375" s="39" t="s">
        <v>577</v>
      </c>
      <c r="G375" s="40" t="s">
        <v>578</v>
      </c>
      <c r="H375" s="41">
        <v>123000000000</v>
      </c>
      <c r="I375" s="42">
        <v>22.07</v>
      </c>
      <c r="J375" s="43">
        <v>44797</v>
      </c>
      <c r="K375" s="43">
        <v>45596</v>
      </c>
      <c r="L375" s="34" t="s">
        <v>579</v>
      </c>
    </row>
    <row r="376" spans="1:12" ht="17.399999999999999" x14ac:dyDescent="0.4">
      <c r="A376" s="37">
        <f t="shared" si="5"/>
        <v>371</v>
      </c>
      <c r="B376" s="38" t="s">
        <v>820</v>
      </c>
      <c r="C376" s="37" t="s">
        <v>821</v>
      </c>
      <c r="D376" s="37" t="s">
        <v>822</v>
      </c>
      <c r="E376" s="40" t="s">
        <v>796</v>
      </c>
      <c r="F376" s="39" t="s">
        <v>823</v>
      </c>
      <c r="G376" s="40" t="s">
        <v>824</v>
      </c>
      <c r="H376" s="41">
        <v>8690000000</v>
      </c>
      <c r="I376" s="42">
        <v>2.8</v>
      </c>
      <c r="J376" s="43">
        <v>45195</v>
      </c>
      <c r="K376" s="44">
        <v>45596</v>
      </c>
      <c r="L376" s="34" t="s">
        <v>825</v>
      </c>
    </row>
    <row r="377" spans="1:12" ht="17.399999999999999" x14ac:dyDescent="0.4">
      <c r="A377" s="37">
        <f t="shared" si="5"/>
        <v>372</v>
      </c>
      <c r="B377" s="47" t="s">
        <v>1165</v>
      </c>
      <c r="C377" s="48"/>
      <c r="D377" s="48" t="s">
        <v>1166</v>
      </c>
      <c r="E377" s="49"/>
      <c r="F377" s="50" t="s">
        <v>491</v>
      </c>
      <c r="G377" s="49" t="s">
        <v>1167</v>
      </c>
      <c r="H377" s="51">
        <v>33000000000</v>
      </c>
      <c r="I377" s="52">
        <v>13.43</v>
      </c>
      <c r="J377" s="53">
        <v>45232</v>
      </c>
      <c r="K377" s="53">
        <v>45596</v>
      </c>
      <c r="L377" s="66" t="s">
        <v>1168</v>
      </c>
    </row>
    <row r="378" spans="1:12" ht="17.399999999999999" x14ac:dyDescent="0.4">
      <c r="A378" s="37">
        <f t="shared" si="5"/>
        <v>373</v>
      </c>
      <c r="B378" s="47" t="s">
        <v>261</v>
      </c>
      <c r="C378" s="48"/>
      <c r="D378" s="48" t="s">
        <v>1252</v>
      </c>
      <c r="E378" s="50"/>
      <c r="F378" s="50" t="s">
        <v>1253</v>
      </c>
      <c r="G378" s="49" t="s">
        <v>1254</v>
      </c>
      <c r="H378" s="51">
        <v>68200000000</v>
      </c>
      <c r="I378" s="52">
        <v>19.77</v>
      </c>
      <c r="J378" s="53">
        <v>45177</v>
      </c>
      <c r="K378" s="53">
        <v>45596</v>
      </c>
      <c r="L378" s="66" t="s">
        <v>1251</v>
      </c>
    </row>
    <row r="379" spans="1:12" ht="17.399999999999999" x14ac:dyDescent="0.4">
      <c r="A379" s="37">
        <f t="shared" si="5"/>
        <v>374</v>
      </c>
      <c r="B379" s="38" t="s">
        <v>1495</v>
      </c>
      <c r="C379" s="37"/>
      <c r="D379" s="37" t="s">
        <v>1496</v>
      </c>
      <c r="E379" s="39"/>
      <c r="F379" s="39" t="s">
        <v>491</v>
      </c>
      <c r="G379" s="40" t="s">
        <v>1497</v>
      </c>
      <c r="H379" s="41">
        <v>90000000000</v>
      </c>
      <c r="I379" s="42">
        <v>65.8</v>
      </c>
      <c r="J379" s="43">
        <v>45027</v>
      </c>
      <c r="K379" s="43">
        <v>45596</v>
      </c>
      <c r="L379" s="57" t="s">
        <v>1498</v>
      </c>
    </row>
    <row r="380" spans="1:12" ht="17.399999999999999" x14ac:dyDescent="0.4">
      <c r="A380" s="37">
        <f t="shared" si="5"/>
        <v>375</v>
      </c>
      <c r="B380" s="38" t="s">
        <v>1748</v>
      </c>
      <c r="C380" s="37"/>
      <c r="D380" s="37" t="s">
        <v>1435</v>
      </c>
      <c r="E380" s="39"/>
      <c r="F380" s="39" t="s">
        <v>1749</v>
      </c>
      <c r="G380" s="39" t="s">
        <v>1750</v>
      </c>
      <c r="H380" s="41">
        <v>58540000000</v>
      </c>
      <c r="I380" s="42">
        <v>29.76</v>
      </c>
      <c r="J380" s="43">
        <v>44859</v>
      </c>
      <c r="K380" s="43">
        <v>45596</v>
      </c>
      <c r="L380" s="57" t="s">
        <v>1751</v>
      </c>
    </row>
    <row r="381" spans="1:12" ht="17.399999999999999" x14ac:dyDescent="0.4">
      <c r="A381" s="37">
        <f t="shared" si="5"/>
        <v>376</v>
      </c>
      <c r="B381" s="38" t="s">
        <v>723</v>
      </c>
      <c r="C381" s="37" t="s">
        <v>724</v>
      </c>
      <c r="D381" s="37" t="s">
        <v>725</v>
      </c>
      <c r="E381" s="39" t="s">
        <v>726</v>
      </c>
      <c r="F381" s="56" t="s">
        <v>727</v>
      </c>
      <c r="G381" s="39" t="s">
        <v>728</v>
      </c>
      <c r="H381" s="41">
        <v>1777589088000</v>
      </c>
      <c r="I381" s="42">
        <v>92.38</v>
      </c>
      <c r="J381" s="43">
        <v>44376</v>
      </c>
      <c r="K381" s="43">
        <v>45621</v>
      </c>
      <c r="L381" s="34" t="s">
        <v>729</v>
      </c>
    </row>
    <row r="382" spans="1:12" ht="17.399999999999999" x14ac:dyDescent="0.4">
      <c r="A382" s="37">
        <v>1</v>
      </c>
      <c r="B382" s="38" t="s">
        <v>477</v>
      </c>
      <c r="C382" s="37"/>
      <c r="D382" s="37" t="s">
        <v>478</v>
      </c>
      <c r="E382" s="39"/>
      <c r="F382" s="40" t="s">
        <v>479</v>
      </c>
      <c r="G382" s="40" t="s">
        <v>480</v>
      </c>
      <c r="H382" s="41">
        <v>31430480000</v>
      </c>
      <c r="I382" s="42">
        <v>18.41</v>
      </c>
      <c r="J382" s="43">
        <v>45555</v>
      </c>
      <c r="K382" s="43">
        <v>45626</v>
      </c>
      <c r="L382" s="34" t="s">
        <v>481</v>
      </c>
    </row>
    <row r="383" spans="1:12" ht="17.399999999999999" x14ac:dyDescent="0.4">
      <c r="A383" s="37">
        <f t="shared" ref="A383:A414" si="6">A382+1</f>
        <v>2</v>
      </c>
      <c r="B383" s="38" t="s">
        <v>1049</v>
      </c>
      <c r="C383" s="37"/>
      <c r="D383" s="37" t="s">
        <v>1050</v>
      </c>
      <c r="E383" s="40"/>
      <c r="F383" s="39" t="s">
        <v>1051</v>
      </c>
      <c r="G383" s="40" t="s">
        <v>1052</v>
      </c>
      <c r="H383" s="41">
        <v>74534239646</v>
      </c>
      <c r="I383" s="42">
        <v>5.17</v>
      </c>
      <c r="J383" s="43">
        <v>45280</v>
      </c>
      <c r="K383" s="43">
        <v>45626</v>
      </c>
      <c r="L383" s="34" t="s">
        <v>1053</v>
      </c>
    </row>
    <row r="384" spans="1:12" ht="26.4" x14ac:dyDescent="0.4">
      <c r="A384" s="37">
        <f t="shared" si="6"/>
        <v>3</v>
      </c>
      <c r="B384" s="47" t="s">
        <v>1791</v>
      </c>
      <c r="C384" s="48" t="s">
        <v>1792</v>
      </c>
      <c r="D384" s="48" t="s">
        <v>1793</v>
      </c>
      <c r="E384" s="49" t="s">
        <v>1794</v>
      </c>
      <c r="F384" s="50" t="s">
        <v>1795</v>
      </c>
      <c r="G384" s="50" t="s">
        <v>1796</v>
      </c>
      <c r="H384" s="51">
        <v>274000000000</v>
      </c>
      <c r="I384" s="52">
        <v>9.43</v>
      </c>
      <c r="J384" s="53">
        <v>44197</v>
      </c>
      <c r="K384" s="53">
        <v>45626</v>
      </c>
      <c r="L384" s="57" t="s">
        <v>1797</v>
      </c>
    </row>
    <row r="385" spans="1:12" ht="17.399999999999999" x14ac:dyDescent="0.4">
      <c r="A385" s="37">
        <f t="shared" si="6"/>
        <v>4</v>
      </c>
      <c r="B385" s="38" t="s">
        <v>1610</v>
      </c>
      <c r="C385" s="37"/>
      <c r="D385" s="37" t="s">
        <v>1652</v>
      </c>
      <c r="E385" s="55"/>
      <c r="F385" s="39" t="s">
        <v>1611</v>
      </c>
      <c r="G385" s="55" t="s">
        <v>1612</v>
      </c>
      <c r="H385" s="41">
        <v>63600000000</v>
      </c>
      <c r="I385" s="42">
        <v>21.61</v>
      </c>
      <c r="J385" s="43">
        <v>44708</v>
      </c>
      <c r="K385" s="43">
        <v>45626</v>
      </c>
      <c r="L385" s="77" t="s">
        <v>1943</v>
      </c>
    </row>
    <row r="386" spans="1:12" ht="17.399999999999999" x14ac:dyDescent="0.4">
      <c r="A386" s="37">
        <f t="shared" si="6"/>
        <v>5</v>
      </c>
      <c r="B386" s="38" t="s">
        <v>2061</v>
      </c>
      <c r="C386" s="37"/>
      <c r="D386" s="37" t="s">
        <v>2058</v>
      </c>
      <c r="E386" s="40"/>
      <c r="F386" s="39" t="s">
        <v>2062</v>
      </c>
      <c r="G386" s="39" t="s">
        <v>2063</v>
      </c>
      <c r="H386" s="41">
        <v>55250000000</v>
      </c>
      <c r="I386" s="42">
        <v>7.62</v>
      </c>
      <c r="J386" s="43">
        <v>44581</v>
      </c>
      <c r="K386" s="44">
        <v>45627</v>
      </c>
      <c r="L386" s="57" t="s">
        <v>2064</v>
      </c>
    </row>
    <row r="387" spans="1:12" ht="17.399999999999999" x14ac:dyDescent="0.4">
      <c r="A387" s="37">
        <f t="shared" si="6"/>
        <v>6</v>
      </c>
      <c r="B387" s="38" t="s">
        <v>2077</v>
      </c>
      <c r="C387" s="37"/>
      <c r="D387" s="37" t="s">
        <v>2078</v>
      </c>
      <c r="E387" s="40"/>
      <c r="F387" s="39" t="s">
        <v>2062</v>
      </c>
      <c r="G387" s="39" t="s">
        <v>2063</v>
      </c>
      <c r="H387" s="41">
        <v>44200000000</v>
      </c>
      <c r="I387" s="42">
        <v>24.4</v>
      </c>
      <c r="J387" s="43">
        <v>44581</v>
      </c>
      <c r="K387" s="44">
        <v>45627</v>
      </c>
      <c r="L387" s="57" t="s">
        <v>2079</v>
      </c>
    </row>
    <row r="388" spans="1:12" ht="17.399999999999999" x14ac:dyDescent="0.4">
      <c r="A388" s="37">
        <f t="shared" si="6"/>
        <v>7</v>
      </c>
      <c r="B388" s="38" t="s">
        <v>1668</v>
      </c>
      <c r="C388" s="37"/>
      <c r="D388" s="37" t="s">
        <v>1669</v>
      </c>
      <c r="E388" s="40"/>
      <c r="F388" s="39" t="s">
        <v>491</v>
      </c>
      <c r="G388" s="40" t="s">
        <v>1670</v>
      </c>
      <c r="H388" s="41">
        <v>14278000000</v>
      </c>
      <c r="I388" s="42">
        <v>49.81</v>
      </c>
      <c r="J388" s="43">
        <v>44909</v>
      </c>
      <c r="K388" s="44">
        <v>45639</v>
      </c>
      <c r="L388" s="57" t="s">
        <v>1671</v>
      </c>
    </row>
    <row r="389" spans="1:12" ht="17.399999999999999" x14ac:dyDescent="0.4">
      <c r="A389" s="37">
        <f t="shared" si="6"/>
        <v>8</v>
      </c>
      <c r="B389" s="38" t="s">
        <v>840</v>
      </c>
      <c r="C389" s="37" t="s">
        <v>841</v>
      </c>
      <c r="D389" s="37" t="s">
        <v>842</v>
      </c>
      <c r="E389" s="40" t="s">
        <v>843</v>
      </c>
      <c r="F389" s="39" t="s">
        <v>491</v>
      </c>
      <c r="G389" s="39" t="s">
        <v>844</v>
      </c>
      <c r="H389" s="41">
        <v>23778000000</v>
      </c>
      <c r="I389" s="42">
        <v>51.3</v>
      </c>
      <c r="J389" s="43">
        <v>45057</v>
      </c>
      <c r="K389" s="43">
        <v>45657</v>
      </c>
      <c r="L389" s="34" t="s">
        <v>845</v>
      </c>
    </row>
    <row r="390" spans="1:12" ht="17.399999999999999" x14ac:dyDescent="0.4">
      <c r="A390" s="37">
        <f t="shared" si="6"/>
        <v>9</v>
      </c>
      <c r="B390" s="38" t="s">
        <v>947</v>
      </c>
      <c r="C390" s="37"/>
      <c r="D390" s="37" t="s">
        <v>948</v>
      </c>
      <c r="E390" s="40"/>
      <c r="F390" s="40" t="s">
        <v>479</v>
      </c>
      <c r="G390" s="40" t="s">
        <v>949</v>
      </c>
      <c r="H390" s="46">
        <v>14123000000</v>
      </c>
      <c r="I390" s="42">
        <v>9.1199999999999992</v>
      </c>
      <c r="J390" s="43">
        <v>45343</v>
      </c>
      <c r="K390" s="43">
        <v>45657</v>
      </c>
      <c r="L390" s="34" t="s">
        <v>950</v>
      </c>
    </row>
    <row r="391" spans="1:12" ht="17.399999999999999" x14ac:dyDescent="0.4">
      <c r="A391" s="37">
        <f t="shared" si="6"/>
        <v>10</v>
      </c>
      <c r="B391" s="38" t="s">
        <v>951</v>
      </c>
      <c r="C391" s="37"/>
      <c r="D391" s="37" t="s">
        <v>952</v>
      </c>
      <c r="E391" s="40"/>
      <c r="F391" s="40" t="s">
        <v>479</v>
      </c>
      <c r="G391" s="40" t="s">
        <v>953</v>
      </c>
      <c r="H391" s="46">
        <v>383000000000</v>
      </c>
      <c r="I391" s="42">
        <v>9</v>
      </c>
      <c r="J391" s="43">
        <v>45342</v>
      </c>
      <c r="K391" s="43">
        <v>45657</v>
      </c>
      <c r="L391" s="34" t="s">
        <v>954</v>
      </c>
    </row>
    <row r="392" spans="1:12" ht="17.399999999999999" x14ac:dyDescent="0.4">
      <c r="A392" s="37">
        <f t="shared" si="6"/>
        <v>11</v>
      </c>
      <c r="B392" s="38" t="s">
        <v>1032</v>
      </c>
      <c r="C392" s="37" t="s">
        <v>1033</v>
      </c>
      <c r="D392" s="37" t="s">
        <v>1028</v>
      </c>
      <c r="E392" s="39" t="s">
        <v>1034</v>
      </c>
      <c r="F392" s="39" t="s">
        <v>491</v>
      </c>
      <c r="G392" s="39" t="s">
        <v>1035</v>
      </c>
      <c r="H392" s="41">
        <v>12000000000</v>
      </c>
      <c r="I392" s="42">
        <v>8.86</v>
      </c>
      <c r="J392" s="43">
        <v>44299</v>
      </c>
      <c r="K392" s="44">
        <v>45657</v>
      </c>
      <c r="L392" s="34" t="s">
        <v>1036</v>
      </c>
    </row>
    <row r="393" spans="1:12" ht="17.399999999999999" x14ac:dyDescent="0.4">
      <c r="A393" s="37">
        <f t="shared" si="6"/>
        <v>12</v>
      </c>
      <c r="B393" s="38" t="s">
        <v>1136</v>
      </c>
      <c r="C393" s="37"/>
      <c r="D393" s="37" t="s">
        <v>1137</v>
      </c>
      <c r="E393" s="40"/>
      <c r="F393" s="39" t="s">
        <v>491</v>
      </c>
      <c r="G393" s="40" t="s">
        <v>1138</v>
      </c>
      <c r="H393" s="41">
        <v>19000000000</v>
      </c>
      <c r="I393" s="42">
        <v>42.78</v>
      </c>
      <c r="J393" s="43">
        <v>45251</v>
      </c>
      <c r="K393" s="43">
        <v>45657</v>
      </c>
      <c r="L393" s="66" t="s">
        <v>1139</v>
      </c>
    </row>
    <row r="394" spans="1:12" ht="17.399999999999999" x14ac:dyDescent="0.4">
      <c r="A394" s="37">
        <f t="shared" si="6"/>
        <v>13</v>
      </c>
      <c r="B394" s="38" t="s">
        <v>1058</v>
      </c>
      <c r="C394" s="37"/>
      <c r="D394" s="37" t="s">
        <v>1137</v>
      </c>
      <c r="E394" s="40"/>
      <c r="F394" s="39" t="s">
        <v>1140</v>
      </c>
      <c r="G394" s="40" t="s">
        <v>1141</v>
      </c>
      <c r="H394" s="41">
        <v>7000000000</v>
      </c>
      <c r="I394" s="42">
        <v>4.2699999999999996</v>
      </c>
      <c r="J394" s="43">
        <v>45251</v>
      </c>
      <c r="K394" s="43">
        <v>45657</v>
      </c>
      <c r="L394" s="66" t="s">
        <v>1142</v>
      </c>
    </row>
    <row r="395" spans="1:12" ht="40.5" customHeight="1" x14ac:dyDescent="0.4">
      <c r="A395" s="37">
        <f t="shared" si="6"/>
        <v>14</v>
      </c>
      <c r="B395" s="38" t="s">
        <v>1150</v>
      </c>
      <c r="C395" s="37"/>
      <c r="D395" s="37" t="s">
        <v>1162</v>
      </c>
      <c r="E395" s="40"/>
      <c r="F395" s="39" t="s">
        <v>491</v>
      </c>
      <c r="G395" s="40" t="s">
        <v>1163</v>
      </c>
      <c r="H395" s="41">
        <v>17209000000</v>
      </c>
      <c r="I395" s="42">
        <v>12</v>
      </c>
      <c r="J395" s="43">
        <v>45237</v>
      </c>
      <c r="K395" s="43">
        <v>45657</v>
      </c>
      <c r="L395" s="66" t="s">
        <v>1164</v>
      </c>
    </row>
    <row r="396" spans="1:12" ht="17.399999999999999" x14ac:dyDescent="0.4">
      <c r="A396" s="37">
        <f t="shared" si="6"/>
        <v>15</v>
      </c>
      <c r="B396" s="38" t="s">
        <v>799</v>
      </c>
      <c r="C396" s="37"/>
      <c r="D396" s="37" t="s">
        <v>1274</v>
      </c>
      <c r="E396" s="39"/>
      <c r="F396" s="39" t="s">
        <v>491</v>
      </c>
      <c r="G396" s="40" t="s">
        <v>1275</v>
      </c>
      <c r="H396" s="41">
        <v>13100000000</v>
      </c>
      <c r="I396" s="42">
        <v>10.85</v>
      </c>
      <c r="J396" s="43">
        <v>45167</v>
      </c>
      <c r="K396" s="43">
        <v>45657</v>
      </c>
      <c r="L396" s="66" t="s">
        <v>1276</v>
      </c>
    </row>
    <row r="397" spans="1:12" ht="17.399999999999999" x14ac:dyDescent="0.4">
      <c r="A397" s="37">
        <f t="shared" si="6"/>
        <v>16</v>
      </c>
      <c r="B397" s="38" t="s">
        <v>1214</v>
      </c>
      <c r="C397" s="37"/>
      <c r="D397" s="37" t="s">
        <v>1274</v>
      </c>
      <c r="E397" s="39"/>
      <c r="F397" s="39" t="s">
        <v>1277</v>
      </c>
      <c r="G397" s="40" t="s">
        <v>1278</v>
      </c>
      <c r="H397" s="41">
        <v>610000000000</v>
      </c>
      <c r="I397" s="42">
        <v>500.26</v>
      </c>
      <c r="J397" s="43">
        <v>45180</v>
      </c>
      <c r="K397" s="43">
        <v>45657</v>
      </c>
      <c r="L397" s="66" t="s">
        <v>1279</v>
      </c>
    </row>
    <row r="398" spans="1:12" ht="17.399999999999999" x14ac:dyDescent="0.4">
      <c r="A398" s="37">
        <f t="shared" si="6"/>
        <v>17</v>
      </c>
      <c r="B398" s="38" t="s">
        <v>1294</v>
      </c>
      <c r="C398" s="37"/>
      <c r="D398" s="37" t="s">
        <v>1295</v>
      </c>
      <c r="E398" s="39"/>
      <c r="F398" s="39" t="s">
        <v>1296</v>
      </c>
      <c r="G398" s="39" t="s">
        <v>1297</v>
      </c>
      <c r="H398" s="41">
        <v>30000000000</v>
      </c>
      <c r="I398" s="42">
        <v>10.27</v>
      </c>
      <c r="J398" s="43">
        <v>45149</v>
      </c>
      <c r="K398" s="44">
        <v>45657</v>
      </c>
      <c r="L398" s="69" t="s">
        <v>1298</v>
      </c>
    </row>
    <row r="399" spans="1:12" ht="17.399999999999999" x14ac:dyDescent="0.4">
      <c r="A399" s="37">
        <f t="shared" si="6"/>
        <v>18</v>
      </c>
      <c r="B399" s="38" t="s">
        <v>1308</v>
      </c>
      <c r="C399" s="37"/>
      <c r="D399" s="37" t="s">
        <v>1309</v>
      </c>
      <c r="E399" s="39"/>
      <c r="F399" s="39" t="s">
        <v>1310</v>
      </c>
      <c r="G399" s="39" t="s">
        <v>1311</v>
      </c>
      <c r="H399" s="41">
        <v>71500000000</v>
      </c>
      <c r="I399" s="42">
        <v>18.38</v>
      </c>
      <c r="J399" s="43">
        <v>44781</v>
      </c>
      <c r="K399" s="44">
        <v>45657</v>
      </c>
      <c r="L399" s="57" t="s">
        <v>1312</v>
      </c>
    </row>
    <row r="400" spans="1:12" ht="17.399999999999999" x14ac:dyDescent="0.4">
      <c r="A400" s="37">
        <f t="shared" si="6"/>
        <v>19</v>
      </c>
      <c r="B400" s="38" t="s">
        <v>1214</v>
      </c>
      <c r="C400" s="37"/>
      <c r="D400" s="37" t="s">
        <v>1326</v>
      </c>
      <c r="E400" s="40"/>
      <c r="F400" s="39" t="s">
        <v>1331</v>
      </c>
      <c r="G400" s="40" t="s">
        <v>1332</v>
      </c>
      <c r="H400" s="41">
        <v>17500000000</v>
      </c>
      <c r="I400" s="42">
        <v>14.35</v>
      </c>
      <c r="J400" s="43">
        <v>45135</v>
      </c>
      <c r="K400" s="44">
        <v>45657</v>
      </c>
      <c r="L400" s="57" t="s">
        <v>1333</v>
      </c>
    </row>
    <row r="401" spans="1:12" ht="26.4" x14ac:dyDescent="0.4">
      <c r="A401" s="37">
        <f t="shared" si="6"/>
        <v>20</v>
      </c>
      <c r="B401" s="38" t="s">
        <v>1354</v>
      </c>
      <c r="C401" s="37"/>
      <c r="D401" s="37" t="s">
        <v>1355</v>
      </c>
      <c r="E401" s="40"/>
      <c r="F401" s="39" t="s">
        <v>1356</v>
      </c>
      <c r="G401" s="40" t="s">
        <v>1357</v>
      </c>
      <c r="H401" s="41">
        <v>20000000000</v>
      </c>
      <c r="I401" s="42">
        <v>39.229999999999997</v>
      </c>
      <c r="J401" s="43">
        <v>45110</v>
      </c>
      <c r="K401" s="44">
        <v>45657</v>
      </c>
      <c r="L401" s="70" t="s">
        <v>1358</v>
      </c>
    </row>
    <row r="402" spans="1:12" ht="17.399999999999999" x14ac:dyDescent="0.4">
      <c r="A402" s="37">
        <f t="shared" si="6"/>
        <v>21</v>
      </c>
      <c r="B402" s="38" t="s">
        <v>1389</v>
      </c>
      <c r="C402" s="37" t="s">
        <v>1390</v>
      </c>
      <c r="D402" s="37" t="s">
        <v>1391</v>
      </c>
      <c r="E402" s="38" t="s">
        <v>1392</v>
      </c>
      <c r="F402" s="39" t="s">
        <v>1393</v>
      </c>
      <c r="G402" s="39" t="s">
        <v>1394</v>
      </c>
      <c r="H402" s="41">
        <v>250000000000</v>
      </c>
      <c r="I402" s="42">
        <v>99.5</v>
      </c>
      <c r="J402" s="43">
        <v>44396</v>
      </c>
      <c r="K402" s="43">
        <v>45657</v>
      </c>
      <c r="L402" s="57" t="s">
        <v>1395</v>
      </c>
    </row>
    <row r="403" spans="1:12" ht="39.6" x14ac:dyDescent="0.4">
      <c r="A403" s="37">
        <f t="shared" si="6"/>
        <v>22</v>
      </c>
      <c r="B403" s="38" t="s">
        <v>1447</v>
      </c>
      <c r="C403" s="37"/>
      <c r="D403" s="37" t="s">
        <v>1448</v>
      </c>
      <c r="E403" s="40"/>
      <c r="F403" s="39" t="s">
        <v>491</v>
      </c>
      <c r="G403" s="40" t="s">
        <v>1449</v>
      </c>
      <c r="H403" s="41">
        <v>473200000000</v>
      </c>
      <c r="I403" s="42">
        <v>31.8</v>
      </c>
      <c r="J403" s="43" t="s">
        <v>1077</v>
      </c>
      <c r="K403" s="43">
        <v>45657</v>
      </c>
      <c r="L403" s="57" t="s">
        <v>1450</v>
      </c>
    </row>
    <row r="404" spans="1:12" ht="17.399999999999999" x14ac:dyDescent="0.4">
      <c r="A404" s="37">
        <f t="shared" si="6"/>
        <v>23</v>
      </c>
      <c r="B404" s="38" t="s">
        <v>1580</v>
      </c>
      <c r="C404" s="37" t="s">
        <v>1021</v>
      </c>
      <c r="D404" s="37" t="s">
        <v>1581</v>
      </c>
      <c r="E404" s="39"/>
      <c r="F404" s="40" t="s">
        <v>1582</v>
      </c>
      <c r="G404" s="39" t="s">
        <v>1583</v>
      </c>
      <c r="H404" s="41">
        <v>430000000000</v>
      </c>
      <c r="I404" s="42">
        <v>7.21</v>
      </c>
      <c r="J404" s="43">
        <v>44551</v>
      </c>
      <c r="K404" s="43">
        <v>45657</v>
      </c>
      <c r="L404" s="57" t="s">
        <v>1584</v>
      </c>
    </row>
    <row r="405" spans="1:12" ht="17.399999999999999" x14ac:dyDescent="0.4">
      <c r="A405" s="37">
        <f t="shared" si="6"/>
        <v>24</v>
      </c>
      <c r="B405" s="38" t="s">
        <v>1605</v>
      </c>
      <c r="C405" s="37"/>
      <c r="D405" s="37" t="s">
        <v>1606</v>
      </c>
      <c r="E405" s="40"/>
      <c r="F405" s="39" t="s">
        <v>1607</v>
      </c>
      <c r="G405" s="40" t="s">
        <v>1608</v>
      </c>
      <c r="H405" s="41">
        <v>146000000000</v>
      </c>
      <c r="I405" s="42">
        <v>45.5</v>
      </c>
      <c r="J405" s="43">
        <v>44942</v>
      </c>
      <c r="K405" s="44">
        <v>45657</v>
      </c>
      <c r="L405" s="57" t="s">
        <v>1609</v>
      </c>
    </row>
    <row r="406" spans="1:12" ht="17.399999999999999" x14ac:dyDescent="0.4">
      <c r="A406" s="37">
        <f t="shared" si="6"/>
        <v>25</v>
      </c>
      <c r="B406" s="47" t="s">
        <v>84</v>
      </c>
      <c r="C406" s="48"/>
      <c r="D406" s="48" t="s">
        <v>1752</v>
      </c>
      <c r="E406" s="50"/>
      <c r="F406" s="50" t="s">
        <v>1753</v>
      </c>
      <c r="G406" s="50" t="s">
        <v>1754</v>
      </c>
      <c r="H406" s="51">
        <v>41000000000</v>
      </c>
      <c r="I406" s="52">
        <v>32.67</v>
      </c>
      <c r="J406" s="53">
        <v>44851</v>
      </c>
      <c r="K406" s="53">
        <v>45657</v>
      </c>
      <c r="L406" s="57" t="s">
        <v>1755</v>
      </c>
    </row>
    <row r="407" spans="1:12" ht="17.399999999999999" x14ac:dyDescent="0.4">
      <c r="A407" s="37">
        <f t="shared" si="6"/>
        <v>26</v>
      </c>
      <c r="B407" s="47" t="s">
        <v>1839</v>
      </c>
      <c r="C407" s="48" t="s">
        <v>1840</v>
      </c>
      <c r="D407" s="48" t="s">
        <v>1831</v>
      </c>
      <c r="E407" s="47" t="s">
        <v>1841</v>
      </c>
      <c r="F407" s="50" t="s">
        <v>491</v>
      </c>
      <c r="G407" s="49" t="s">
        <v>1842</v>
      </c>
      <c r="H407" s="51">
        <v>20000000000</v>
      </c>
      <c r="I407" s="52">
        <v>12.16</v>
      </c>
      <c r="J407" s="53">
        <v>44623</v>
      </c>
      <c r="K407" s="53">
        <v>45657</v>
      </c>
      <c r="L407" s="68" t="s">
        <v>1843</v>
      </c>
    </row>
    <row r="408" spans="1:12" ht="17.399999999999999" x14ac:dyDescent="0.4">
      <c r="A408" s="37">
        <f t="shared" si="6"/>
        <v>27</v>
      </c>
      <c r="B408" s="38" t="s">
        <v>1950</v>
      </c>
      <c r="C408" s="37"/>
      <c r="D408" s="37" t="s">
        <v>1951</v>
      </c>
      <c r="E408" s="40"/>
      <c r="F408" s="39"/>
      <c r="G408" s="39" t="s">
        <v>1952</v>
      </c>
      <c r="H408" s="41">
        <v>145000000000</v>
      </c>
      <c r="I408" s="42">
        <v>3.65</v>
      </c>
      <c r="J408" s="43">
        <v>44693</v>
      </c>
      <c r="K408" s="43">
        <v>45657</v>
      </c>
      <c r="L408" s="57" t="s">
        <v>1953</v>
      </c>
    </row>
    <row r="409" spans="1:12" ht="26.4" x14ac:dyDescent="0.4">
      <c r="A409" s="37">
        <f t="shared" si="6"/>
        <v>28</v>
      </c>
      <c r="B409" s="38" t="s">
        <v>79</v>
      </c>
      <c r="C409" s="37"/>
      <c r="D409" s="37" t="s">
        <v>1973</v>
      </c>
      <c r="E409" s="39"/>
      <c r="F409" s="39" t="s">
        <v>1974</v>
      </c>
      <c r="G409" s="40" t="s">
        <v>1975</v>
      </c>
      <c r="H409" s="41">
        <v>270000000000</v>
      </c>
      <c r="I409" s="42">
        <v>39.6</v>
      </c>
      <c r="J409" s="43">
        <v>44672</v>
      </c>
      <c r="K409" s="44">
        <v>45657</v>
      </c>
      <c r="L409" s="57" t="s">
        <v>1976</v>
      </c>
    </row>
    <row r="410" spans="1:12" ht="17.399999999999999" x14ac:dyDescent="0.4">
      <c r="A410" s="37">
        <f t="shared" si="6"/>
        <v>29</v>
      </c>
      <c r="B410" s="38" t="s">
        <v>1825</v>
      </c>
      <c r="C410" s="37"/>
      <c r="D410" s="37" t="s">
        <v>2297</v>
      </c>
      <c r="E410" s="38"/>
      <c r="F410" s="39" t="s">
        <v>1827</v>
      </c>
      <c r="G410" s="39" t="s">
        <v>1828</v>
      </c>
      <c r="H410" s="41">
        <v>457055214000</v>
      </c>
      <c r="I410" s="42">
        <v>16.28</v>
      </c>
      <c r="J410" s="43">
        <v>44391</v>
      </c>
      <c r="K410" s="43">
        <v>45657</v>
      </c>
      <c r="L410" s="57" t="s">
        <v>2298</v>
      </c>
    </row>
    <row r="411" spans="1:12" ht="26.4" x14ac:dyDescent="0.4">
      <c r="A411" s="37">
        <f t="shared" si="6"/>
        <v>30</v>
      </c>
      <c r="B411" s="38" t="s">
        <v>661</v>
      </c>
      <c r="C411" s="37"/>
      <c r="D411" s="37" t="s">
        <v>662</v>
      </c>
      <c r="E411" s="40"/>
      <c r="F411" s="39" t="s">
        <v>479</v>
      </c>
      <c r="G411" s="40" t="s">
        <v>663</v>
      </c>
      <c r="H411" s="45">
        <v>5500000000</v>
      </c>
      <c r="I411" s="42">
        <v>7.37</v>
      </c>
      <c r="J411" s="43">
        <v>45481</v>
      </c>
      <c r="K411" s="43">
        <v>45688</v>
      </c>
      <c r="L411" s="34" t="s">
        <v>664</v>
      </c>
    </row>
    <row r="412" spans="1:12" ht="17.399999999999999" x14ac:dyDescent="0.4">
      <c r="A412" s="37">
        <f t="shared" si="6"/>
        <v>31</v>
      </c>
      <c r="B412" s="38" t="s">
        <v>767</v>
      </c>
      <c r="C412" s="37"/>
      <c r="D412" s="37" t="s">
        <v>762</v>
      </c>
      <c r="E412" s="39"/>
      <c r="F412" s="39" t="s">
        <v>768</v>
      </c>
      <c r="G412" s="39" t="s">
        <v>769</v>
      </c>
      <c r="H412" s="41">
        <v>68618380000</v>
      </c>
      <c r="I412" s="42">
        <v>12.98</v>
      </c>
      <c r="J412" s="43">
        <v>45474</v>
      </c>
      <c r="K412" s="44">
        <v>45688</v>
      </c>
      <c r="L412" s="34" t="s">
        <v>770</v>
      </c>
    </row>
    <row r="413" spans="1:12" ht="17.399999999999999" x14ac:dyDescent="0.4">
      <c r="A413" s="37">
        <f t="shared" si="6"/>
        <v>32</v>
      </c>
      <c r="B413" s="38" t="s">
        <v>1557</v>
      </c>
      <c r="C413" s="37"/>
      <c r="D413" s="37" t="s">
        <v>1558</v>
      </c>
      <c r="E413" s="39"/>
      <c r="F413" s="40" t="s">
        <v>491</v>
      </c>
      <c r="G413" s="40" t="s">
        <v>1343</v>
      </c>
      <c r="H413" s="41">
        <v>392000000000</v>
      </c>
      <c r="I413" s="42">
        <v>16.100000000000001</v>
      </c>
      <c r="J413" s="43">
        <v>45005</v>
      </c>
      <c r="K413" s="43">
        <v>45688</v>
      </c>
      <c r="L413" s="57" t="s">
        <v>1559</v>
      </c>
    </row>
    <row r="414" spans="1:12" ht="17.399999999999999" x14ac:dyDescent="0.4">
      <c r="A414" s="37">
        <f t="shared" si="6"/>
        <v>33</v>
      </c>
      <c r="B414" s="38" t="s">
        <v>1242</v>
      </c>
      <c r="C414" s="37"/>
      <c r="D414" s="37" t="s">
        <v>1243</v>
      </c>
      <c r="E414" s="39"/>
      <c r="F414" s="39" t="s">
        <v>1244</v>
      </c>
      <c r="G414" s="40" t="s">
        <v>1245</v>
      </c>
      <c r="H414" s="41">
        <v>5075000000</v>
      </c>
      <c r="I414" s="42">
        <v>6.36</v>
      </c>
      <c r="J414" s="43">
        <v>45181</v>
      </c>
      <c r="K414" s="43">
        <v>45698</v>
      </c>
      <c r="L414" s="66" t="s">
        <v>1246</v>
      </c>
    </row>
    <row r="415" spans="1:12" ht="17.399999999999999" x14ac:dyDescent="0.4">
      <c r="A415" s="37">
        <f t="shared" ref="A415:A446" si="7">A414+1</f>
        <v>34</v>
      </c>
      <c r="B415" s="38" t="s">
        <v>1204</v>
      </c>
      <c r="C415" s="37"/>
      <c r="D415" s="37" t="s">
        <v>1205</v>
      </c>
      <c r="E415" s="40"/>
      <c r="F415" s="39" t="s">
        <v>1206</v>
      </c>
      <c r="G415" s="40" t="s">
        <v>1207</v>
      </c>
      <c r="H415" s="41">
        <v>23500000000</v>
      </c>
      <c r="I415" s="42">
        <v>11.23</v>
      </c>
      <c r="J415" s="43">
        <v>45215</v>
      </c>
      <c r="K415" s="43">
        <v>45703</v>
      </c>
      <c r="L415" s="66" t="s">
        <v>1208</v>
      </c>
    </row>
    <row r="416" spans="1:12" ht="17.399999999999999" x14ac:dyDescent="0.4">
      <c r="A416" s="37">
        <f t="shared" si="7"/>
        <v>35</v>
      </c>
      <c r="B416" s="38" t="s">
        <v>1150</v>
      </c>
      <c r="C416" s="37"/>
      <c r="D416" s="37" t="s">
        <v>1151</v>
      </c>
      <c r="E416" s="40"/>
      <c r="F416" s="39" t="s">
        <v>1152</v>
      </c>
      <c r="G416" s="40" t="s">
        <v>1153</v>
      </c>
      <c r="H416" s="41">
        <v>57645000000</v>
      </c>
      <c r="I416" s="42">
        <v>38.700000000000003</v>
      </c>
      <c r="J416" s="43">
        <v>45246</v>
      </c>
      <c r="K416" s="43">
        <v>45716</v>
      </c>
      <c r="L416" s="66" t="s">
        <v>1154</v>
      </c>
    </row>
    <row r="417" spans="1:12" ht="26.4" x14ac:dyDescent="0.4">
      <c r="A417" s="37">
        <f t="shared" si="7"/>
        <v>36</v>
      </c>
      <c r="B417" s="38" t="s">
        <v>1247</v>
      </c>
      <c r="C417" s="37"/>
      <c r="D417" s="37" t="s">
        <v>1718</v>
      </c>
      <c r="E417" s="40"/>
      <c r="F417" s="39" t="s">
        <v>673</v>
      </c>
      <c r="G417" s="40" t="s">
        <v>1719</v>
      </c>
      <c r="H417" s="41">
        <v>77800000000</v>
      </c>
      <c r="I417" s="42">
        <v>10.78</v>
      </c>
      <c r="J417" s="43">
        <v>44881</v>
      </c>
      <c r="K417" s="43">
        <v>45716</v>
      </c>
      <c r="L417" s="75" t="s">
        <v>1720</v>
      </c>
    </row>
    <row r="418" spans="1:12" ht="17.399999999999999" x14ac:dyDescent="0.4">
      <c r="A418" s="37">
        <f t="shared" si="7"/>
        <v>37</v>
      </c>
      <c r="B418" s="38" t="s">
        <v>2023</v>
      </c>
      <c r="C418" s="37"/>
      <c r="D418" s="37" t="s">
        <v>2024</v>
      </c>
      <c r="E418" s="38"/>
      <c r="F418" s="39" t="s">
        <v>491</v>
      </c>
      <c r="G418" s="40" t="s">
        <v>2025</v>
      </c>
      <c r="H418" s="41">
        <v>190000000000</v>
      </c>
      <c r="I418" s="42">
        <v>129.82</v>
      </c>
      <c r="J418" s="43">
        <v>44624</v>
      </c>
      <c r="K418" s="43">
        <v>45716</v>
      </c>
      <c r="L418" s="57" t="s">
        <v>1892</v>
      </c>
    </row>
    <row r="419" spans="1:12" ht="17.399999999999999" x14ac:dyDescent="0.4">
      <c r="A419" s="37">
        <f t="shared" si="7"/>
        <v>38</v>
      </c>
      <c r="B419" s="38" t="s">
        <v>812</v>
      </c>
      <c r="C419" s="37"/>
      <c r="D419" s="37" t="s">
        <v>813</v>
      </c>
      <c r="E419" s="40"/>
      <c r="F419" s="40" t="s">
        <v>814</v>
      </c>
      <c r="G419" s="40" t="s">
        <v>815</v>
      </c>
      <c r="H419" s="45">
        <v>13000000000</v>
      </c>
      <c r="I419" s="42">
        <v>22.45</v>
      </c>
      <c r="J419" s="44">
        <v>45441</v>
      </c>
      <c r="K419" s="44">
        <v>45731</v>
      </c>
      <c r="L419" s="34" t="s">
        <v>816</v>
      </c>
    </row>
    <row r="420" spans="1:12" ht="52.8" x14ac:dyDescent="0.4">
      <c r="A420" s="37">
        <f t="shared" si="7"/>
        <v>39</v>
      </c>
      <c r="B420" s="38" t="s">
        <v>227</v>
      </c>
      <c r="C420" s="37" t="s">
        <v>604</v>
      </c>
      <c r="D420" s="37" t="s">
        <v>593</v>
      </c>
      <c r="E420" s="39" t="s">
        <v>605</v>
      </c>
      <c r="F420" s="39" t="s">
        <v>491</v>
      </c>
      <c r="G420" s="40" t="s">
        <v>606</v>
      </c>
      <c r="H420" s="41">
        <v>35045797370</v>
      </c>
      <c r="I420" s="42">
        <v>47.33</v>
      </c>
      <c r="J420" s="43">
        <v>44522</v>
      </c>
      <c r="K420" s="44">
        <v>45747</v>
      </c>
      <c r="L420" s="34" t="s">
        <v>607</v>
      </c>
    </row>
    <row r="421" spans="1:12" ht="79.2" x14ac:dyDescent="0.4">
      <c r="A421" s="37">
        <f t="shared" si="7"/>
        <v>40</v>
      </c>
      <c r="B421" s="38" t="s">
        <v>656</v>
      </c>
      <c r="C421" s="37"/>
      <c r="D421" s="37" t="s">
        <v>657</v>
      </c>
      <c r="E421" s="40"/>
      <c r="F421" s="39" t="s">
        <v>658</v>
      </c>
      <c r="G421" s="40" t="s">
        <v>659</v>
      </c>
      <c r="H421" s="45">
        <v>9000000000</v>
      </c>
      <c r="I421" s="42">
        <v>18.52</v>
      </c>
      <c r="J421" s="43">
        <v>45483</v>
      </c>
      <c r="K421" s="43">
        <v>45747</v>
      </c>
      <c r="L421" s="34" t="s">
        <v>660</v>
      </c>
    </row>
    <row r="422" spans="1:12" ht="17.399999999999999" x14ac:dyDescent="0.4">
      <c r="A422" s="37">
        <f t="shared" si="7"/>
        <v>41</v>
      </c>
      <c r="B422" s="38" t="s">
        <v>849</v>
      </c>
      <c r="C422" s="37" t="s">
        <v>850</v>
      </c>
      <c r="D422" s="37" t="s">
        <v>650</v>
      </c>
      <c r="E422" s="40"/>
      <c r="F422" s="40" t="s">
        <v>491</v>
      </c>
      <c r="G422" s="39" t="s">
        <v>851</v>
      </c>
      <c r="H422" s="45">
        <v>220000000000</v>
      </c>
      <c r="I422" s="42">
        <v>197.4</v>
      </c>
      <c r="J422" s="43">
        <v>45303</v>
      </c>
      <c r="K422" s="44">
        <v>45747</v>
      </c>
      <c r="L422" s="34" t="s">
        <v>852</v>
      </c>
    </row>
    <row r="423" spans="1:12" ht="17.399999999999999" x14ac:dyDescent="0.4">
      <c r="A423" s="37">
        <f t="shared" si="7"/>
        <v>42</v>
      </c>
      <c r="B423" s="38" t="s">
        <v>898</v>
      </c>
      <c r="C423" s="37" t="s">
        <v>899</v>
      </c>
      <c r="D423" s="37" t="s">
        <v>761</v>
      </c>
      <c r="E423" s="39" t="s">
        <v>900</v>
      </c>
      <c r="F423" s="40" t="s">
        <v>901</v>
      </c>
      <c r="G423" s="40" t="s">
        <v>902</v>
      </c>
      <c r="H423" s="45">
        <v>39000000000</v>
      </c>
      <c r="I423" s="42">
        <v>14.61</v>
      </c>
      <c r="J423" s="43">
        <v>44434</v>
      </c>
      <c r="K423" s="43">
        <v>45747</v>
      </c>
      <c r="L423" s="34" t="s">
        <v>903</v>
      </c>
    </row>
    <row r="424" spans="1:12" ht="17.399999999999999" x14ac:dyDescent="0.4">
      <c r="A424" s="37">
        <f t="shared" si="7"/>
        <v>43</v>
      </c>
      <c r="B424" s="38" t="s">
        <v>799</v>
      </c>
      <c r="C424" s="37" t="s">
        <v>1238</v>
      </c>
      <c r="D424" s="37" t="s">
        <v>1234</v>
      </c>
      <c r="E424" s="40" t="s">
        <v>1239</v>
      </c>
      <c r="F424" s="39" t="s">
        <v>523</v>
      </c>
      <c r="G424" s="40" t="s">
        <v>1240</v>
      </c>
      <c r="H424" s="41">
        <v>66367000000</v>
      </c>
      <c r="I424" s="42">
        <v>54.99</v>
      </c>
      <c r="J424" s="43">
        <v>44928</v>
      </c>
      <c r="K424" s="44">
        <v>45747</v>
      </c>
      <c r="L424" s="66" t="s">
        <v>1241</v>
      </c>
    </row>
    <row r="425" spans="1:12" ht="17.399999999999999" x14ac:dyDescent="0.4">
      <c r="A425" s="37">
        <f t="shared" si="7"/>
        <v>44</v>
      </c>
      <c r="B425" s="38" t="s">
        <v>487</v>
      </c>
      <c r="C425" s="37"/>
      <c r="D425" s="37" t="s">
        <v>1325</v>
      </c>
      <c r="E425" s="40"/>
      <c r="F425" s="40" t="s">
        <v>491</v>
      </c>
      <c r="G425" s="40" t="s">
        <v>1375</v>
      </c>
      <c r="H425" s="41">
        <v>4687745134</v>
      </c>
      <c r="I425" s="42">
        <v>22.35</v>
      </c>
      <c r="J425" s="43">
        <v>45103</v>
      </c>
      <c r="K425" s="43">
        <v>45747</v>
      </c>
      <c r="L425" s="57" t="s">
        <v>1376</v>
      </c>
    </row>
    <row r="426" spans="1:12" ht="17.399999999999999" x14ac:dyDescent="0.4">
      <c r="A426" s="37">
        <f t="shared" si="7"/>
        <v>45</v>
      </c>
      <c r="B426" s="38" t="s">
        <v>144</v>
      </c>
      <c r="C426" s="37" t="s">
        <v>1424</v>
      </c>
      <c r="D426" s="37" t="s">
        <v>495</v>
      </c>
      <c r="E426" s="39" t="s">
        <v>1425</v>
      </c>
      <c r="F426" s="40" t="s">
        <v>1426</v>
      </c>
      <c r="G426" s="40" t="s">
        <v>1427</v>
      </c>
      <c r="H426" s="41">
        <v>1980100000000</v>
      </c>
      <c r="I426" s="42">
        <v>22.01</v>
      </c>
      <c r="J426" s="43">
        <v>45002</v>
      </c>
      <c r="K426" s="43">
        <v>45748</v>
      </c>
      <c r="L426" s="57" t="s">
        <v>1428</v>
      </c>
    </row>
    <row r="427" spans="1:12" ht="17.399999999999999" x14ac:dyDescent="0.4">
      <c r="A427" s="37">
        <f t="shared" si="7"/>
        <v>46</v>
      </c>
      <c r="B427" s="38" t="s">
        <v>992</v>
      </c>
      <c r="C427" s="37"/>
      <c r="D427" s="37" t="s">
        <v>987</v>
      </c>
      <c r="E427" s="40"/>
      <c r="F427" s="40" t="s">
        <v>491</v>
      </c>
      <c r="G427" s="39" t="s">
        <v>993</v>
      </c>
      <c r="H427" s="45">
        <v>19183000000</v>
      </c>
      <c r="I427" s="42">
        <v>15.89</v>
      </c>
      <c r="J427" s="43">
        <v>45322</v>
      </c>
      <c r="K427" s="44">
        <v>45777</v>
      </c>
      <c r="L427" s="34" t="s">
        <v>994</v>
      </c>
    </row>
    <row r="428" spans="1:12" ht="17.399999999999999" x14ac:dyDescent="0.4">
      <c r="A428" s="37">
        <f t="shared" si="7"/>
        <v>47</v>
      </c>
      <c r="B428" s="38" t="s">
        <v>1020</v>
      </c>
      <c r="C428" s="37" t="s">
        <v>1021</v>
      </c>
      <c r="D428" s="37" t="s">
        <v>1015</v>
      </c>
      <c r="E428" s="39" t="s">
        <v>1022</v>
      </c>
      <c r="F428" s="39" t="s">
        <v>1023</v>
      </c>
      <c r="G428" s="39" t="s">
        <v>1024</v>
      </c>
      <c r="H428" s="41">
        <v>155800000000</v>
      </c>
      <c r="I428" s="42">
        <v>30.51</v>
      </c>
      <c r="J428" s="43">
        <v>44123</v>
      </c>
      <c r="K428" s="44">
        <v>45777</v>
      </c>
      <c r="L428" s="34" t="s">
        <v>1025</v>
      </c>
    </row>
    <row r="429" spans="1:12" ht="17.399999999999999" x14ac:dyDescent="0.4">
      <c r="A429" s="37">
        <f t="shared" si="7"/>
        <v>48</v>
      </c>
      <c r="B429" s="38" t="s">
        <v>634</v>
      </c>
      <c r="C429" s="37"/>
      <c r="D429" s="37" t="s">
        <v>635</v>
      </c>
      <c r="E429" s="39"/>
      <c r="F429" s="40" t="s">
        <v>636</v>
      </c>
      <c r="G429" s="40" t="s">
        <v>637</v>
      </c>
      <c r="H429" s="41">
        <v>68949000000</v>
      </c>
      <c r="I429" s="42">
        <v>15.6</v>
      </c>
      <c r="J429" s="43">
        <v>45499</v>
      </c>
      <c r="K429" s="43">
        <v>45806</v>
      </c>
      <c r="L429" s="34" t="s">
        <v>638</v>
      </c>
    </row>
    <row r="430" spans="1:12" ht="26.4" x14ac:dyDescent="0.4">
      <c r="A430" s="37">
        <f t="shared" si="7"/>
        <v>49</v>
      </c>
      <c r="B430" s="38" t="s">
        <v>742</v>
      </c>
      <c r="C430" s="37"/>
      <c r="D430" s="37" t="s">
        <v>743</v>
      </c>
      <c r="E430" s="39"/>
      <c r="F430" s="39" t="s">
        <v>744</v>
      </c>
      <c r="G430" s="40" t="s">
        <v>745</v>
      </c>
      <c r="H430" s="41">
        <v>18000000000</v>
      </c>
      <c r="I430" s="42">
        <v>24.71</v>
      </c>
      <c r="J430" s="43">
        <v>45488</v>
      </c>
      <c r="K430" s="44">
        <v>45807</v>
      </c>
      <c r="L430" s="34" t="s">
        <v>746</v>
      </c>
    </row>
    <row r="431" spans="1:12" ht="17.399999999999999" x14ac:dyDescent="0.4">
      <c r="A431" s="37">
        <f t="shared" si="7"/>
        <v>50</v>
      </c>
      <c r="B431" s="38" t="s">
        <v>771</v>
      </c>
      <c r="C431" s="37" t="s">
        <v>772</v>
      </c>
      <c r="D431" s="37" t="s">
        <v>773</v>
      </c>
      <c r="E431" s="39" t="s">
        <v>774</v>
      </c>
      <c r="F431" s="39" t="s">
        <v>775</v>
      </c>
      <c r="G431" s="39" t="s">
        <v>776</v>
      </c>
      <c r="H431" s="41">
        <v>183800000000</v>
      </c>
      <c r="I431" s="42">
        <v>40.42</v>
      </c>
      <c r="J431" s="43">
        <v>45149</v>
      </c>
      <c r="K431" s="44">
        <v>45808</v>
      </c>
      <c r="L431" s="34" t="s">
        <v>777</v>
      </c>
    </row>
    <row r="432" spans="1:12" ht="26.4" x14ac:dyDescent="0.4">
      <c r="A432" s="37">
        <f t="shared" si="7"/>
        <v>51</v>
      </c>
      <c r="B432" s="38" t="s">
        <v>1089</v>
      </c>
      <c r="C432" s="37"/>
      <c r="D432" s="37" t="s">
        <v>1090</v>
      </c>
      <c r="E432" s="40"/>
      <c r="F432" s="39" t="s">
        <v>1091</v>
      </c>
      <c r="G432" s="55" t="s">
        <v>1092</v>
      </c>
      <c r="H432" s="45">
        <v>49267400000</v>
      </c>
      <c r="I432" s="42">
        <v>5.27</v>
      </c>
      <c r="J432" s="43">
        <v>45268</v>
      </c>
      <c r="K432" s="44">
        <v>45808</v>
      </c>
      <c r="L432" s="34" t="s">
        <v>1093</v>
      </c>
    </row>
    <row r="433" spans="1:12" ht="17.399999999999999" x14ac:dyDescent="0.4">
      <c r="A433" s="37">
        <f t="shared" si="7"/>
        <v>52</v>
      </c>
      <c r="B433" s="38" t="s">
        <v>2339</v>
      </c>
      <c r="C433" s="37" t="s">
        <v>1295</v>
      </c>
      <c r="D433" s="72">
        <v>45180</v>
      </c>
      <c r="E433" s="39" t="s">
        <v>2912</v>
      </c>
      <c r="F433" s="39" t="s">
        <v>2913</v>
      </c>
      <c r="G433" s="39" t="s">
        <v>2914</v>
      </c>
      <c r="H433" s="41">
        <v>164300000000</v>
      </c>
      <c r="I433" s="42">
        <v>36.130000000000003</v>
      </c>
      <c r="J433" s="43">
        <v>45149</v>
      </c>
      <c r="K433" s="44">
        <v>45808</v>
      </c>
      <c r="L433" s="66" t="s">
        <v>2915</v>
      </c>
    </row>
    <row r="434" spans="1:12" ht="17.399999999999999" x14ac:dyDescent="0.4">
      <c r="A434" s="37">
        <f t="shared" si="7"/>
        <v>53</v>
      </c>
      <c r="B434" s="38" t="s">
        <v>888</v>
      </c>
      <c r="C434" s="37"/>
      <c r="D434" s="37" t="s">
        <v>889</v>
      </c>
      <c r="E434" s="40"/>
      <c r="F434" s="40" t="s">
        <v>890</v>
      </c>
      <c r="G434" s="40" t="s">
        <v>891</v>
      </c>
      <c r="H434" s="46">
        <v>14850000000</v>
      </c>
      <c r="I434" s="42">
        <v>15.2</v>
      </c>
      <c r="J434" s="43">
        <v>45390</v>
      </c>
      <c r="K434" s="43">
        <v>45818</v>
      </c>
      <c r="L434" s="34" t="s">
        <v>892</v>
      </c>
    </row>
    <row r="435" spans="1:12" ht="17.399999999999999" x14ac:dyDescent="0.4">
      <c r="A435" s="37">
        <f t="shared" si="7"/>
        <v>54</v>
      </c>
      <c r="B435" s="38" t="s">
        <v>500</v>
      </c>
      <c r="C435" s="37"/>
      <c r="D435" s="37" t="s">
        <v>501</v>
      </c>
      <c r="E435" s="39"/>
      <c r="F435" s="40" t="s">
        <v>479</v>
      </c>
      <c r="G435" s="40" t="s">
        <v>502</v>
      </c>
      <c r="H435" s="41">
        <v>8000000000</v>
      </c>
      <c r="I435" s="42">
        <v>35.36</v>
      </c>
      <c r="J435" s="43">
        <v>45540</v>
      </c>
      <c r="K435" s="43">
        <v>45838</v>
      </c>
      <c r="L435" s="34" t="s">
        <v>503</v>
      </c>
    </row>
    <row r="436" spans="1:12" ht="17.399999999999999" x14ac:dyDescent="0.4">
      <c r="A436" s="37">
        <f t="shared" si="7"/>
        <v>55</v>
      </c>
      <c r="B436" s="38" t="s">
        <v>526</v>
      </c>
      <c r="C436" s="37" t="s">
        <v>527</v>
      </c>
      <c r="D436" s="37" t="s">
        <v>528</v>
      </c>
      <c r="E436" s="39" t="s">
        <v>529</v>
      </c>
      <c r="F436" s="40" t="s">
        <v>530</v>
      </c>
      <c r="G436" s="40" t="s">
        <v>531</v>
      </c>
      <c r="H436" s="41">
        <v>461200000000</v>
      </c>
      <c r="I436" s="42">
        <v>45.8</v>
      </c>
      <c r="J436" s="43">
        <v>43920</v>
      </c>
      <c r="K436" s="43">
        <v>45838</v>
      </c>
      <c r="L436" s="34" t="s">
        <v>532</v>
      </c>
    </row>
    <row r="437" spans="1:12" ht="26.4" x14ac:dyDescent="0.4">
      <c r="A437" s="37">
        <f t="shared" si="7"/>
        <v>56</v>
      </c>
      <c r="B437" s="38" t="s">
        <v>747</v>
      </c>
      <c r="C437" s="37"/>
      <c r="D437" s="37" t="s">
        <v>748</v>
      </c>
      <c r="E437" s="39"/>
      <c r="F437" s="39" t="s">
        <v>749</v>
      </c>
      <c r="G437" s="40" t="s">
        <v>750</v>
      </c>
      <c r="H437" s="41">
        <v>33300000000</v>
      </c>
      <c r="I437" s="42">
        <v>2.72</v>
      </c>
      <c r="J437" s="43">
        <v>45454</v>
      </c>
      <c r="K437" s="44">
        <v>45838</v>
      </c>
      <c r="L437" s="34" t="s">
        <v>751</v>
      </c>
    </row>
    <row r="438" spans="1:12" ht="26.4" x14ac:dyDescent="0.4">
      <c r="A438" s="37">
        <f t="shared" si="7"/>
        <v>57</v>
      </c>
      <c r="B438" s="38" t="s">
        <v>1083</v>
      </c>
      <c r="C438" s="37" t="s">
        <v>1084</v>
      </c>
      <c r="D438" s="37" t="s">
        <v>1085</v>
      </c>
      <c r="E438" s="40" t="s">
        <v>1086</v>
      </c>
      <c r="F438" s="39" t="s">
        <v>491</v>
      </c>
      <c r="G438" s="40" t="s">
        <v>1087</v>
      </c>
      <c r="H438" s="41">
        <v>290600000000</v>
      </c>
      <c r="I438" s="42">
        <v>99.78</v>
      </c>
      <c r="J438" s="43">
        <v>44817</v>
      </c>
      <c r="K438" s="43">
        <v>45838</v>
      </c>
      <c r="L438" s="34" t="s">
        <v>1088</v>
      </c>
    </row>
    <row r="439" spans="1:12" ht="42" customHeight="1" x14ac:dyDescent="0.4">
      <c r="A439" s="37">
        <f t="shared" si="7"/>
        <v>58</v>
      </c>
      <c r="B439" s="38" t="s">
        <v>1098</v>
      </c>
      <c r="C439" s="37" t="s">
        <v>1099</v>
      </c>
      <c r="D439" s="37" t="s">
        <v>1100</v>
      </c>
      <c r="E439" s="39" t="s">
        <v>1101</v>
      </c>
      <c r="F439" s="39" t="s">
        <v>1102</v>
      </c>
      <c r="G439" s="39" t="s">
        <v>1103</v>
      </c>
      <c r="H439" s="41">
        <v>214100000000</v>
      </c>
      <c r="I439" s="42">
        <v>12.23</v>
      </c>
      <c r="J439" s="43">
        <v>44544</v>
      </c>
      <c r="K439" s="43">
        <v>45838</v>
      </c>
      <c r="L439" s="34" t="s">
        <v>1104</v>
      </c>
    </row>
    <row r="440" spans="1:12" ht="17.399999999999999" x14ac:dyDescent="0.4">
      <c r="A440" s="37">
        <f t="shared" si="7"/>
        <v>59</v>
      </c>
      <c r="B440" s="38" t="s">
        <v>1122</v>
      </c>
      <c r="C440" s="37"/>
      <c r="D440" s="37" t="s">
        <v>1123</v>
      </c>
      <c r="E440" s="40"/>
      <c r="F440" s="39" t="s">
        <v>1127</v>
      </c>
      <c r="G440" s="40" t="s">
        <v>1128</v>
      </c>
      <c r="H440" s="41">
        <v>13000000000</v>
      </c>
      <c r="I440" s="42">
        <v>11.99</v>
      </c>
      <c r="J440" s="43">
        <v>45257</v>
      </c>
      <c r="K440" s="43">
        <v>45838</v>
      </c>
      <c r="L440" s="66" t="s">
        <v>1129</v>
      </c>
    </row>
    <row r="441" spans="1:12" ht="17.399999999999999" x14ac:dyDescent="0.4">
      <c r="A441" s="37">
        <f t="shared" si="7"/>
        <v>60</v>
      </c>
      <c r="B441" s="38" t="s">
        <v>1421</v>
      </c>
      <c r="C441" s="37"/>
      <c r="D441" s="37" t="s">
        <v>670</v>
      </c>
      <c r="E441" s="40"/>
      <c r="F441" s="39" t="s">
        <v>1422</v>
      </c>
      <c r="G441" s="40" t="s">
        <v>1419</v>
      </c>
      <c r="H441" s="41">
        <v>50000000000</v>
      </c>
      <c r="I441" s="42">
        <v>13.7</v>
      </c>
      <c r="J441" s="43">
        <v>45084</v>
      </c>
      <c r="K441" s="43">
        <v>45838</v>
      </c>
      <c r="L441" s="57" t="s">
        <v>1423</v>
      </c>
    </row>
    <row r="442" spans="1:12" ht="25.5" customHeight="1" x14ac:dyDescent="0.4">
      <c r="A442" s="37">
        <f t="shared" si="7"/>
        <v>61</v>
      </c>
      <c r="B442" s="38" t="s">
        <v>1002</v>
      </c>
      <c r="C442" s="37" t="s">
        <v>1539</v>
      </c>
      <c r="D442" s="37" t="s">
        <v>794</v>
      </c>
      <c r="E442" s="38" t="s">
        <v>1004</v>
      </c>
      <c r="F442" s="39" t="s">
        <v>673</v>
      </c>
      <c r="G442" s="39" t="s">
        <v>1540</v>
      </c>
      <c r="H442" s="41">
        <v>38000000000</v>
      </c>
      <c r="I442" s="42">
        <v>19.7</v>
      </c>
      <c r="J442" s="43">
        <v>44417</v>
      </c>
      <c r="K442" s="43">
        <v>45838</v>
      </c>
      <c r="L442" s="57" t="s">
        <v>1541</v>
      </c>
    </row>
    <row r="443" spans="1:12" ht="17.399999999999999" x14ac:dyDescent="0.4">
      <c r="A443" s="37">
        <f t="shared" si="7"/>
        <v>62</v>
      </c>
      <c r="B443" s="38" t="s">
        <v>1557</v>
      </c>
      <c r="C443" s="37" t="s">
        <v>1682</v>
      </c>
      <c r="D443" s="37" t="s">
        <v>1644</v>
      </c>
      <c r="E443" s="39"/>
      <c r="F443" s="39" t="s">
        <v>1683</v>
      </c>
      <c r="G443" s="39" t="s">
        <v>1684</v>
      </c>
      <c r="H443" s="41">
        <v>345800000000</v>
      </c>
      <c r="I443" s="42">
        <v>34.4</v>
      </c>
      <c r="J443" s="43">
        <v>43920</v>
      </c>
      <c r="K443" s="43">
        <v>45838</v>
      </c>
      <c r="L443" s="70" t="s">
        <v>1685</v>
      </c>
    </row>
    <row r="444" spans="1:12" ht="17.399999999999999" x14ac:dyDescent="0.4">
      <c r="A444" s="37">
        <f t="shared" si="7"/>
        <v>63</v>
      </c>
      <c r="B444" s="38" t="s">
        <v>1707</v>
      </c>
      <c r="C444" s="37" t="s">
        <v>1708</v>
      </c>
      <c r="D444" s="37" t="s">
        <v>1704</v>
      </c>
      <c r="E444" s="40" t="s">
        <v>1709</v>
      </c>
      <c r="F444" s="39" t="s">
        <v>1710</v>
      </c>
      <c r="G444" s="39" t="s">
        <v>1711</v>
      </c>
      <c r="H444" s="41">
        <v>300000000000</v>
      </c>
      <c r="I444" s="42">
        <v>17.600000000000001</v>
      </c>
      <c r="J444" s="43">
        <v>43717</v>
      </c>
      <c r="K444" s="43">
        <v>45838</v>
      </c>
      <c r="L444" s="74" t="s">
        <v>1712</v>
      </c>
    </row>
    <row r="445" spans="1:12" ht="17.399999999999999" x14ac:dyDescent="0.4">
      <c r="A445" s="37">
        <f t="shared" si="7"/>
        <v>64</v>
      </c>
      <c r="B445" s="38" t="s">
        <v>2363</v>
      </c>
      <c r="C445" s="37"/>
      <c r="D445" s="37" t="s">
        <v>2364</v>
      </c>
      <c r="E445" s="39"/>
      <c r="F445" s="39" t="s">
        <v>2365</v>
      </c>
      <c r="G445" s="39" t="s">
        <v>2366</v>
      </c>
      <c r="H445" s="41">
        <v>172000000000</v>
      </c>
      <c r="I445" s="42">
        <v>41.5</v>
      </c>
      <c r="J445" s="43">
        <v>44368</v>
      </c>
      <c r="K445" s="43">
        <v>45838</v>
      </c>
      <c r="L445" s="74" t="s">
        <v>2367</v>
      </c>
    </row>
    <row r="446" spans="1:12" ht="17.399999999999999" x14ac:dyDescent="0.4">
      <c r="A446" s="37">
        <f t="shared" si="7"/>
        <v>65</v>
      </c>
      <c r="B446" s="38" t="s">
        <v>1825</v>
      </c>
      <c r="C446" s="37"/>
      <c r="D446" s="37" t="s">
        <v>1320</v>
      </c>
      <c r="E446" s="39"/>
      <c r="F446" s="39" t="s">
        <v>1861</v>
      </c>
      <c r="G446" s="39" t="s">
        <v>1828</v>
      </c>
      <c r="H446" s="41">
        <v>255976200000</v>
      </c>
      <c r="I446" s="42">
        <v>7.1</v>
      </c>
      <c r="J446" s="43">
        <v>44680</v>
      </c>
      <c r="K446" s="44">
        <v>45854</v>
      </c>
      <c r="L446" s="57" t="s">
        <v>1980</v>
      </c>
    </row>
    <row r="447" spans="1:12" ht="17.399999999999999" x14ac:dyDescent="0.4">
      <c r="A447" s="37">
        <f t="shared" ref="A447:A478" si="8">A446+1</f>
        <v>66</v>
      </c>
      <c r="B447" s="38" t="s">
        <v>539</v>
      </c>
      <c r="C447" s="37"/>
      <c r="D447" s="37" t="s">
        <v>540</v>
      </c>
      <c r="E447" s="39"/>
      <c r="F447" s="40" t="s">
        <v>541</v>
      </c>
      <c r="G447" s="40" t="s">
        <v>542</v>
      </c>
      <c r="H447" s="41">
        <v>21370000000</v>
      </c>
      <c r="I447" s="42">
        <v>11.7</v>
      </c>
      <c r="J447" s="43">
        <v>45526</v>
      </c>
      <c r="K447" s="43">
        <v>45869</v>
      </c>
      <c r="L447" s="34" t="s">
        <v>543</v>
      </c>
    </row>
    <row r="448" spans="1:12" ht="17.399999999999999" x14ac:dyDescent="0.4">
      <c r="A448" s="37">
        <f t="shared" si="8"/>
        <v>67</v>
      </c>
      <c r="B448" s="38" t="s">
        <v>665</v>
      </c>
      <c r="C448" s="37"/>
      <c r="D448" s="37" t="s">
        <v>666</v>
      </c>
      <c r="E448" s="40"/>
      <c r="F448" s="39" t="s">
        <v>479</v>
      </c>
      <c r="G448" s="40" t="s">
        <v>667</v>
      </c>
      <c r="H448" s="45">
        <v>60000000000</v>
      </c>
      <c r="I448" s="42">
        <v>128.19999999999999</v>
      </c>
      <c r="J448" s="43">
        <v>45481</v>
      </c>
      <c r="K448" s="43">
        <v>45869</v>
      </c>
      <c r="L448" s="34" t="s">
        <v>668</v>
      </c>
    </row>
    <row r="449" spans="1:12" ht="17.399999999999999" x14ac:dyDescent="0.4">
      <c r="A449" s="37">
        <f t="shared" si="8"/>
        <v>68</v>
      </c>
      <c r="B449" s="38" t="s">
        <v>778</v>
      </c>
      <c r="C449" s="37"/>
      <c r="D449" s="37" t="s">
        <v>773</v>
      </c>
      <c r="E449" s="39"/>
      <c r="F449" s="39" t="s">
        <v>479</v>
      </c>
      <c r="G449" s="39" t="s">
        <v>779</v>
      </c>
      <c r="H449" s="41">
        <v>49367000000</v>
      </c>
      <c r="I449" s="42">
        <v>26.88</v>
      </c>
      <c r="J449" s="43">
        <v>45254</v>
      </c>
      <c r="K449" s="44">
        <v>45869</v>
      </c>
      <c r="L449" s="34" t="s">
        <v>780</v>
      </c>
    </row>
    <row r="450" spans="1:12" ht="17.399999999999999" x14ac:dyDescent="0.4">
      <c r="A450" s="37">
        <f t="shared" si="8"/>
        <v>69</v>
      </c>
      <c r="B450" s="38" t="s">
        <v>836</v>
      </c>
      <c r="C450" s="37"/>
      <c r="D450" s="37" t="s">
        <v>837</v>
      </c>
      <c r="E450" s="40"/>
      <c r="F450" s="40" t="s">
        <v>833</v>
      </c>
      <c r="G450" s="40" t="s">
        <v>838</v>
      </c>
      <c r="H450" s="45">
        <v>42900000000</v>
      </c>
      <c r="I450" s="42">
        <v>39.229999999999997</v>
      </c>
      <c r="J450" s="44">
        <v>45419</v>
      </c>
      <c r="K450" s="44">
        <v>45869</v>
      </c>
      <c r="L450" s="34" t="s">
        <v>839</v>
      </c>
    </row>
    <row r="451" spans="1:12" ht="26.4" x14ac:dyDescent="0.4">
      <c r="A451" s="37">
        <f t="shared" si="8"/>
        <v>70</v>
      </c>
      <c r="B451" s="38" t="s">
        <v>955</v>
      </c>
      <c r="C451" s="37" t="s">
        <v>956</v>
      </c>
      <c r="D451" s="37" t="s">
        <v>957</v>
      </c>
      <c r="E451" s="40" t="s">
        <v>958</v>
      </c>
      <c r="F451" s="40" t="s">
        <v>959</v>
      </c>
      <c r="G451" s="40" t="s">
        <v>960</v>
      </c>
      <c r="H451" s="46">
        <v>27746545454</v>
      </c>
      <c r="I451" s="42">
        <v>52.9</v>
      </c>
      <c r="J451" s="43">
        <v>45352</v>
      </c>
      <c r="K451" s="43">
        <v>45869</v>
      </c>
      <c r="L451" s="34" t="s">
        <v>961</v>
      </c>
    </row>
    <row r="452" spans="1:12" ht="17.399999999999999" x14ac:dyDescent="0.4">
      <c r="A452" s="37">
        <f t="shared" si="8"/>
        <v>71</v>
      </c>
      <c r="B452" s="38" t="s">
        <v>1214</v>
      </c>
      <c r="C452" s="37"/>
      <c r="D452" s="37" t="s">
        <v>899</v>
      </c>
      <c r="E452" s="40"/>
      <c r="F452" s="39" t="s">
        <v>1215</v>
      </c>
      <c r="G452" s="40" t="s">
        <v>1216</v>
      </c>
      <c r="H452" s="41">
        <v>530000000000</v>
      </c>
      <c r="I452" s="42">
        <v>434.65</v>
      </c>
      <c r="J452" s="43">
        <v>45204</v>
      </c>
      <c r="K452" s="43">
        <v>45869</v>
      </c>
      <c r="L452" s="66" t="s">
        <v>1217</v>
      </c>
    </row>
    <row r="453" spans="1:12" ht="17.399999999999999" x14ac:dyDescent="0.4">
      <c r="A453" s="37">
        <f t="shared" si="8"/>
        <v>72</v>
      </c>
      <c r="B453" s="38" t="s">
        <v>1350</v>
      </c>
      <c r="C453" s="37"/>
      <c r="D453" s="37" t="s">
        <v>1351</v>
      </c>
      <c r="E453" s="40"/>
      <c r="F453" s="39" t="s">
        <v>491</v>
      </c>
      <c r="G453" s="40" t="s">
        <v>1352</v>
      </c>
      <c r="H453" s="41">
        <v>117000000000</v>
      </c>
      <c r="I453" s="42">
        <v>84.82</v>
      </c>
      <c r="J453" s="43">
        <v>45120</v>
      </c>
      <c r="K453" s="44">
        <v>45869</v>
      </c>
      <c r="L453" s="57" t="s">
        <v>1353</v>
      </c>
    </row>
    <row r="454" spans="1:12" ht="17.399999999999999" x14ac:dyDescent="0.4">
      <c r="A454" s="37">
        <f t="shared" si="8"/>
        <v>73</v>
      </c>
      <c r="B454" s="38" t="s">
        <v>846</v>
      </c>
      <c r="C454" s="37"/>
      <c r="D454" s="37" t="s">
        <v>969</v>
      </c>
      <c r="E454" s="40"/>
      <c r="F454" s="40" t="s">
        <v>970</v>
      </c>
      <c r="G454" s="40" t="s">
        <v>971</v>
      </c>
      <c r="H454" s="46">
        <v>10376000000</v>
      </c>
      <c r="I454" s="42">
        <v>20.9</v>
      </c>
      <c r="J454" s="43">
        <v>45337</v>
      </c>
      <c r="K454" s="43">
        <v>45884</v>
      </c>
      <c r="L454" s="34" t="s">
        <v>972</v>
      </c>
    </row>
    <row r="455" spans="1:12" ht="17.399999999999999" x14ac:dyDescent="0.4">
      <c r="A455" s="37">
        <f t="shared" si="8"/>
        <v>74</v>
      </c>
      <c r="B455" s="38" t="s">
        <v>1825</v>
      </c>
      <c r="C455" s="37"/>
      <c r="D455" s="37" t="s">
        <v>1913</v>
      </c>
      <c r="E455" s="40"/>
      <c r="F455" s="39" t="s">
        <v>1861</v>
      </c>
      <c r="G455" s="40" t="s">
        <v>1828</v>
      </c>
      <c r="H455" s="41">
        <v>271633643640</v>
      </c>
      <c r="I455" s="42">
        <v>7.6</v>
      </c>
      <c r="J455" s="43">
        <v>44729</v>
      </c>
      <c r="K455" s="43">
        <v>45897</v>
      </c>
      <c r="L455" s="57" t="s">
        <v>1917</v>
      </c>
    </row>
    <row r="456" spans="1:12" ht="17.399999999999999" x14ac:dyDescent="0.4">
      <c r="A456" s="37">
        <f t="shared" si="8"/>
        <v>75</v>
      </c>
      <c r="B456" s="38" t="s">
        <v>558</v>
      </c>
      <c r="C456" s="37"/>
      <c r="D456" s="37" t="s">
        <v>559</v>
      </c>
      <c r="E456" s="39"/>
      <c r="F456" s="40" t="s">
        <v>560</v>
      </c>
      <c r="G456" s="40" t="s">
        <v>561</v>
      </c>
      <c r="H456" s="41">
        <v>67000000000</v>
      </c>
      <c r="I456" s="42">
        <v>4.1399999999999997</v>
      </c>
      <c r="J456" s="43">
        <v>45517</v>
      </c>
      <c r="K456" s="43">
        <v>45900</v>
      </c>
      <c r="L456" s="34" t="s">
        <v>562</v>
      </c>
    </row>
    <row r="457" spans="1:12" ht="66" x14ac:dyDescent="0.4">
      <c r="A457" s="37">
        <f t="shared" si="8"/>
        <v>76</v>
      </c>
      <c r="B457" s="38" t="s">
        <v>846</v>
      </c>
      <c r="C457" s="37"/>
      <c r="D457" s="37" t="s">
        <v>842</v>
      </c>
      <c r="E457" s="40"/>
      <c r="F457" s="40" t="s">
        <v>491</v>
      </c>
      <c r="G457" s="40" t="s">
        <v>847</v>
      </c>
      <c r="H457" s="45">
        <v>4600000000</v>
      </c>
      <c r="I457" s="42">
        <v>10.4</v>
      </c>
      <c r="J457" s="44">
        <v>45414</v>
      </c>
      <c r="K457" s="44">
        <v>45900</v>
      </c>
      <c r="L457" s="34" t="s">
        <v>848</v>
      </c>
    </row>
    <row r="458" spans="1:12" ht="17.399999999999999" x14ac:dyDescent="0.4">
      <c r="A458" s="37">
        <f t="shared" si="8"/>
        <v>77</v>
      </c>
      <c r="B458" s="38" t="s">
        <v>940</v>
      </c>
      <c r="C458" s="37"/>
      <c r="D458" s="37" t="s">
        <v>935</v>
      </c>
      <c r="E458" s="40"/>
      <c r="F458" s="40" t="s">
        <v>941</v>
      </c>
      <c r="G458" s="40" t="s">
        <v>942</v>
      </c>
      <c r="H458" s="46">
        <v>957300000000</v>
      </c>
      <c r="I458" s="42">
        <v>304.60000000000002</v>
      </c>
      <c r="J458" s="43">
        <v>45350</v>
      </c>
      <c r="K458" s="43">
        <v>45900</v>
      </c>
      <c r="L458" s="34" t="s">
        <v>943</v>
      </c>
    </row>
    <row r="459" spans="1:12" ht="17.399999999999999" x14ac:dyDescent="0.4">
      <c r="A459" s="37">
        <f t="shared" si="8"/>
        <v>78</v>
      </c>
      <c r="B459" s="38" t="s">
        <v>9</v>
      </c>
      <c r="C459" s="37"/>
      <c r="D459" s="37" t="s">
        <v>1492</v>
      </c>
      <c r="E459" s="39"/>
      <c r="F459" s="39" t="s">
        <v>673</v>
      </c>
      <c r="G459" s="40" t="s">
        <v>1493</v>
      </c>
      <c r="H459" s="41">
        <v>614800000000</v>
      </c>
      <c r="I459" s="42">
        <v>23.57</v>
      </c>
      <c r="J459" s="43">
        <v>45040</v>
      </c>
      <c r="K459" s="43">
        <v>45900</v>
      </c>
      <c r="L459" s="57" t="s">
        <v>1494</v>
      </c>
    </row>
    <row r="460" spans="1:12" ht="66" x14ac:dyDescent="0.4">
      <c r="A460" s="37">
        <f t="shared" si="8"/>
        <v>79</v>
      </c>
      <c r="B460" s="38" t="s">
        <v>1459</v>
      </c>
      <c r="C460" s="37"/>
      <c r="D460" s="37" t="s">
        <v>1460</v>
      </c>
      <c r="E460" s="40"/>
      <c r="F460" s="39" t="s">
        <v>1461</v>
      </c>
      <c r="G460" s="40" t="s">
        <v>1462</v>
      </c>
      <c r="H460" s="45">
        <v>276340000000</v>
      </c>
      <c r="I460" s="42">
        <v>41.7</v>
      </c>
      <c r="J460" s="43">
        <v>45062</v>
      </c>
      <c r="K460" s="43">
        <v>45901</v>
      </c>
      <c r="L460" s="57" t="s">
        <v>1463</v>
      </c>
    </row>
    <row r="461" spans="1:12" ht="17.399999999999999" x14ac:dyDescent="0.4">
      <c r="A461" s="37">
        <f t="shared" si="8"/>
        <v>80</v>
      </c>
      <c r="B461" s="38" t="s">
        <v>788</v>
      </c>
      <c r="C461" s="37"/>
      <c r="D461" s="37" t="s">
        <v>789</v>
      </c>
      <c r="E461" s="39"/>
      <c r="F461" s="39" t="s">
        <v>790</v>
      </c>
      <c r="G461" s="39" t="s">
        <v>791</v>
      </c>
      <c r="H461" s="41">
        <v>97900000000</v>
      </c>
      <c r="I461" s="42">
        <v>5.08</v>
      </c>
      <c r="J461" s="43">
        <v>45446</v>
      </c>
      <c r="K461" s="44">
        <v>45910</v>
      </c>
      <c r="L461" s="34" t="s">
        <v>792</v>
      </c>
    </row>
    <row r="462" spans="1:12" ht="17.399999999999999" x14ac:dyDescent="0.4">
      <c r="A462" s="37">
        <f t="shared" si="8"/>
        <v>81</v>
      </c>
      <c r="B462" s="38" t="s">
        <v>788</v>
      </c>
      <c r="C462" s="37"/>
      <c r="D462" s="37" t="s">
        <v>1301</v>
      </c>
      <c r="E462" s="39"/>
      <c r="F462" s="39" t="s">
        <v>1306</v>
      </c>
      <c r="G462" s="39" t="s">
        <v>791</v>
      </c>
      <c r="H462" s="41">
        <v>155550000000</v>
      </c>
      <c r="I462" s="42">
        <v>9.4600000000000009</v>
      </c>
      <c r="J462" s="43">
        <v>45149</v>
      </c>
      <c r="K462" s="44">
        <v>45910</v>
      </c>
      <c r="L462" s="69" t="s">
        <v>1307</v>
      </c>
    </row>
    <row r="463" spans="1:12" ht="17.399999999999999" x14ac:dyDescent="0.4">
      <c r="A463" s="37">
        <f t="shared" si="8"/>
        <v>82</v>
      </c>
      <c r="B463" s="38" t="s">
        <v>817</v>
      </c>
      <c r="C463" s="37"/>
      <c r="D463" s="37" t="s">
        <v>813</v>
      </c>
      <c r="E463" s="40"/>
      <c r="F463" s="40" t="s">
        <v>479</v>
      </c>
      <c r="G463" s="40" t="s">
        <v>818</v>
      </c>
      <c r="H463" s="45">
        <v>76356000000</v>
      </c>
      <c r="I463" s="42">
        <v>20.9</v>
      </c>
      <c r="J463" s="44">
        <v>45536</v>
      </c>
      <c r="K463" s="44">
        <v>45930</v>
      </c>
      <c r="L463" s="34" t="s">
        <v>819</v>
      </c>
    </row>
    <row r="464" spans="1:12" ht="17.399999999999999" x14ac:dyDescent="0.4">
      <c r="A464" s="37">
        <f t="shared" si="8"/>
        <v>83</v>
      </c>
      <c r="B464" s="38" t="s">
        <v>883</v>
      </c>
      <c r="C464" s="37"/>
      <c r="D464" s="37" t="s">
        <v>884</v>
      </c>
      <c r="E464" s="40"/>
      <c r="F464" s="39" t="s">
        <v>885</v>
      </c>
      <c r="G464" s="40" t="s">
        <v>886</v>
      </c>
      <c r="H464" s="41">
        <v>20000000000</v>
      </c>
      <c r="I464" s="42">
        <v>18.57</v>
      </c>
      <c r="J464" s="43">
        <v>45393</v>
      </c>
      <c r="K464" s="43">
        <v>45930</v>
      </c>
      <c r="L464" s="34" t="s">
        <v>887</v>
      </c>
    </row>
    <row r="465" spans="1:12" ht="17.399999999999999" x14ac:dyDescent="0.4">
      <c r="A465" s="37">
        <f t="shared" si="8"/>
        <v>84</v>
      </c>
      <c r="B465" s="38" t="s">
        <v>730</v>
      </c>
      <c r="C465" s="37"/>
      <c r="D465" s="37" t="s">
        <v>731</v>
      </c>
      <c r="E465" s="39"/>
      <c r="F465" s="56" t="s">
        <v>732</v>
      </c>
      <c r="G465" s="39" t="s">
        <v>733</v>
      </c>
      <c r="H465" s="41">
        <v>161300000000</v>
      </c>
      <c r="I465" s="42">
        <v>36.299999999999997</v>
      </c>
      <c r="J465" s="43">
        <v>45461</v>
      </c>
      <c r="K465" s="43">
        <v>45931</v>
      </c>
      <c r="L465" s="34" t="s">
        <v>734</v>
      </c>
    </row>
    <row r="466" spans="1:12" ht="17.399999999999999" x14ac:dyDescent="0.4">
      <c r="A466" s="37">
        <f t="shared" si="8"/>
        <v>85</v>
      </c>
      <c r="B466" s="38" t="s">
        <v>1825</v>
      </c>
      <c r="C466" s="37"/>
      <c r="D466" s="37" t="s">
        <v>1860</v>
      </c>
      <c r="E466" s="39"/>
      <c r="F466" s="39" t="s">
        <v>1861</v>
      </c>
      <c r="G466" s="40" t="s">
        <v>1828</v>
      </c>
      <c r="H466" s="41">
        <v>280554000000</v>
      </c>
      <c r="I466" s="42">
        <v>7.8</v>
      </c>
      <c r="J466" s="43">
        <v>44804</v>
      </c>
      <c r="K466" s="43">
        <v>45945</v>
      </c>
      <c r="L466" s="57" t="s">
        <v>1862</v>
      </c>
    </row>
    <row r="467" spans="1:12" ht="26.4" x14ac:dyDescent="0.4">
      <c r="A467" s="37">
        <f t="shared" si="8"/>
        <v>86</v>
      </c>
      <c r="B467" s="38" t="s">
        <v>487</v>
      </c>
      <c r="C467" s="37"/>
      <c r="D467" s="37" t="s">
        <v>1197</v>
      </c>
      <c r="E467" s="40"/>
      <c r="F467" s="39" t="s">
        <v>491</v>
      </c>
      <c r="G467" s="40" t="s">
        <v>1198</v>
      </c>
      <c r="H467" s="41">
        <v>11203452000</v>
      </c>
      <c r="I467" s="42">
        <v>53.4</v>
      </c>
      <c r="J467" s="43">
        <v>45219</v>
      </c>
      <c r="K467" s="43">
        <v>45950</v>
      </c>
      <c r="L467" s="66" t="s">
        <v>1199</v>
      </c>
    </row>
    <row r="468" spans="1:12" ht="17.399999999999999" x14ac:dyDescent="0.4">
      <c r="A468" s="37">
        <f t="shared" si="8"/>
        <v>87</v>
      </c>
      <c r="B468" s="38" t="s">
        <v>563</v>
      </c>
      <c r="C468" s="37" t="s">
        <v>564</v>
      </c>
      <c r="D468" s="37" t="s">
        <v>559</v>
      </c>
      <c r="E468" s="40" t="s">
        <v>565</v>
      </c>
      <c r="F468" s="40" t="s">
        <v>566</v>
      </c>
      <c r="G468" s="40" t="s">
        <v>567</v>
      </c>
      <c r="H468" s="45">
        <v>100800000000</v>
      </c>
      <c r="I468" s="42">
        <v>5.8</v>
      </c>
      <c r="J468" s="44">
        <v>45444</v>
      </c>
      <c r="K468" s="44">
        <v>45961</v>
      </c>
      <c r="L468" s="34" t="s">
        <v>568</v>
      </c>
    </row>
    <row r="469" spans="1:12" ht="17.399999999999999" x14ac:dyDescent="0.4">
      <c r="A469" s="37">
        <f t="shared" si="8"/>
        <v>88</v>
      </c>
      <c r="B469" s="38" t="s">
        <v>258</v>
      </c>
      <c r="C469" s="37"/>
      <c r="D469" s="37" t="s">
        <v>1079</v>
      </c>
      <c r="E469" s="40"/>
      <c r="F469" s="39" t="s">
        <v>1080</v>
      </c>
      <c r="G469" s="40" t="s">
        <v>1081</v>
      </c>
      <c r="H469" s="41">
        <v>117300000000</v>
      </c>
      <c r="I469" s="42">
        <v>14.11</v>
      </c>
      <c r="J469" s="43">
        <v>45273</v>
      </c>
      <c r="K469" s="43">
        <v>45961</v>
      </c>
      <c r="L469" s="34" t="s">
        <v>1082</v>
      </c>
    </row>
    <row r="470" spans="1:12" ht="17.399999999999999" x14ac:dyDescent="0.4">
      <c r="A470" s="37">
        <f t="shared" si="8"/>
        <v>89</v>
      </c>
      <c r="B470" s="38" t="s">
        <v>9</v>
      </c>
      <c r="C470" s="37"/>
      <c r="D470" s="37" t="s">
        <v>1340</v>
      </c>
      <c r="E470" s="40"/>
      <c r="F470" s="39" t="s">
        <v>1343</v>
      </c>
      <c r="G470" s="40" t="s">
        <v>1344</v>
      </c>
      <c r="H470" s="41">
        <v>683400000000</v>
      </c>
      <c r="I470" s="42">
        <v>25.8</v>
      </c>
      <c r="J470" s="43">
        <v>45131</v>
      </c>
      <c r="K470" s="44">
        <v>45961</v>
      </c>
      <c r="L470" s="57" t="s">
        <v>1345</v>
      </c>
    </row>
    <row r="471" spans="1:12" ht="17.399999999999999" x14ac:dyDescent="0.4">
      <c r="A471" s="37">
        <f t="shared" si="8"/>
        <v>90</v>
      </c>
      <c r="B471" s="38" t="s">
        <v>1610</v>
      </c>
      <c r="C471" s="37"/>
      <c r="D471" s="37" t="s">
        <v>1606</v>
      </c>
      <c r="E471" s="40"/>
      <c r="F471" s="39" t="s">
        <v>1611</v>
      </c>
      <c r="G471" s="40" t="s">
        <v>1612</v>
      </c>
      <c r="H471" s="41">
        <v>318500000000</v>
      </c>
      <c r="I471" s="42">
        <v>108.22</v>
      </c>
      <c r="J471" s="43">
        <v>44942</v>
      </c>
      <c r="K471" s="44">
        <v>45961</v>
      </c>
      <c r="L471" s="57" t="s">
        <v>1613</v>
      </c>
    </row>
    <row r="472" spans="1:12" ht="17.399999999999999" x14ac:dyDescent="0.4">
      <c r="A472" s="37">
        <f t="shared" si="8"/>
        <v>91</v>
      </c>
      <c r="B472" s="38" t="s">
        <v>623</v>
      </c>
      <c r="C472" s="37"/>
      <c r="D472" s="37" t="s">
        <v>624</v>
      </c>
      <c r="E472" s="39"/>
      <c r="F472" s="40" t="s">
        <v>484</v>
      </c>
      <c r="G472" s="40" t="s">
        <v>625</v>
      </c>
      <c r="H472" s="41">
        <v>17216000000</v>
      </c>
      <c r="I472" s="42">
        <v>7.82</v>
      </c>
      <c r="J472" s="43">
        <v>45505</v>
      </c>
      <c r="K472" s="43">
        <v>45977</v>
      </c>
      <c r="L472" s="34" t="s">
        <v>626</v>
      </c>
    </row>
    <row r="473" spans="1:12" ht="17.399999999999999" x14ac:dyDescent="0.4">
      <c r="A473" s="37">
        <f t="shared" si="8"/>
        <v>92</v>
      </c>
      <c r="B473" s="38" t="s">
        <v>781</v>
      </c>
      <c r="C473" s="37"/>
      <c r="D473" s="37" t="s">
        <v>1778</v>
      </c>
      <c r="E473" s="39"/>
      <c r="F473" s="39" t="s">
        <v>491</v>
      </c>
      <c r="G473" s="39" t="s">
        <v>2149</v>
      </c>
      <c r="H473" s="41">
        <v>70000000000</v>
      </c>
      <c r="I473" s="42">
        <v>11.36</v>
      </c>
      <c r="J473" s="43">
        <v>44519</v>
      </c>
      <c r="K473" s="44">
        <v>45979</v>
      </c>
      <c r="L473" s="57" t="s">
        <v>2150</v>
      </c>
    </row>
    <row r="474" spans="1:12" ht="17.399999999999999" x14ac:dyDescent="0.4">
      <c r="A474" s="37">
        <f t="shared" si="8"/>
        <v>93</v>
      </c>
      <c r="B474" s="38" t="s">
        <v>669</v>
      </c>
      <c r="C474" s="37" t="s">
        <v>670</v>
      </c>
      <c r="D474" s="37" t="s">
        <v>671</v>
      </c>
      <c r="E474" s="40" t="s">
        <v>672</v>
      </c>
      <c r="F474" s="39" t="s">
        <v>673</v>
      </c>
      <c r="G474" s="40" t="s">
        <v>674</v>
      </c>
      <c r="H474" s="41">
        <v>70000000000</v>
      </c>
      <c r="I474" s="42">
        <v>63.49</v>
      </c>
      <c r="J474" s="43">
        <v>45084</v>
      </c>
      <c r="K474" s="43">
        <v>45991</v>
      </c>
      <c r="L474" s="34" t="s">
        <v>675</v>
      </c>
    </row>
    <row r="475" spans="1:12" ht="26.4" x14ac:dyDescent="0.4">
      <c r="A475" s="37">
        <f t="shared" si="8"/>
        <v>94</v>
      </c>
      <c r="B475" s="38" t="s">
        <v>831</v>
      </c>
      <c r="C475" s="37"/>
      <c r="D475" s="37" t="s">
        <v>832</v>
      </c>
      <c r="E475" s="40"/>
      <c r="F475" s="40" t="s">
        <v>833</v>
      </c>
      <c r="G475" s="40" t="s">
        <v>834</v>
      </c>
      <c r="H475" s="45">
        <v>11658400000</v>
      </c>
      <c r="I475" s="42">
        <v>57.92</v>
      </c>
      <c r="J475" s="44">
        <v>45444</v>
      </c>
      <c r="K475" s="44">
        <v>45991</v>
      </c>
      <c r="L475" s="34" t="s">
        <v>835</v>
      </c>
    </row>
    <row r="476" spans="1:12" ht="17.399999999999999" x14ac:dyDescent="0.4">
      <c r="A476" s="37">
        <f t="shared" si="8"/>
        <v>95</v>
      </c>
      <c r="B476" s="38" t="s">
        <v>1109</v>
      </c>
      <c r="C476" s="37"/>
      <c r="D476" s="37" t="s">
        <v>1110</v>
      </c>
      <c r="E476" s="40"/>
      <c r="F476" s="39" t="s">
        <v>491</v>
      </c>
      <c r="G476" s="55" t="s">
        <v>1111</v>
      </c>
      <c r="H476" s="41">
        <v>75252000000</v>
      </c>
      <c r="I476" s="42">
        <v>5.33</v>
      </c>
      <c r="J476" s="43">
        <v>45315</v>
      </c>
      <c r="K476" s="44">
        <v>46021</v>
      </c>
      <c r="L476" s="34" t="s">
        <v>1112</v>
      </c>
    </row>
    <row r="477" spans="1:12" ht="17.399999999999999" x14ac:dyDescent="0.4">
      <c r="A477" s="37">
        <f t="shared" si="8"/>
        <v>96</v>
      </c>
      <c r="B477" s="38" t="s">
        <v>504</v>
      </c>
      <c r="C477" s="37"/>
      <c r="D477" s="37" t="s">
        <v>501</v>
      </c>
      <c r="E477" s="39"/>
      <c r="F477" s="40" t="s">
        <v>505</v>
      </c>
      <c r="G477" s="40" t="s">
        <v>506</v>
      </c>
      <c r="H477" s="41">
        <v>96742350000</v>
      </c>
      <c r="I477" s="42">
        <v>13.1</v>
      </c>
      <c r="J477" s="43">
        <v>45540</v>
      </c>
      <c r="K477" s="43">
        <v>46022</v>
      </c>
      <c r="L477" s="34" t="s">
        <v>507</v>
      </c>
    </row>
    <row r="478" spans="1:12" ht="17.399999999999999" x14ac:dyDescent="0.4">
      <c r="A478" s="37">
        <f t="shared" si="8"/>
        <v>97</v>
      </c>
      <c r="B478" s="38" t="s">
        <v>925</v>
      </c>
      <c r="C478" s="37"/>
      <c r="D478" s="37" t="s">
        <v>926</v>
      </c>
      <c r="E478" s="40"/>
      <c r="F478" s="40" t="s">
        <v>713</v>
      </c>
      <c r="G478" s="40" t="s">
        <v>923</v>
      </c>
      <c r="H478" s="46">
        <v>5776363636</v>
      </c>
      <c r="I478" s="42">
        <v>8.31</v>
      </c>
      <c r="J478" s="43">
        <v>45366</v>
      </c>
      <c r="K478" s="43">
        <v>46022</v>
      </c>
      <c r="L478" s="34" t="s">
        <v>927</v>
      </c>
    </row>
    <row r="479" spans="1:12" ht="17.399999999999999" x14ac:dyDescent="0.4">
      <c r="A479" s="37">
        <f t="shared" ref="A479:A510" si="9">A478+1</f>
        <v>98</v>
      </c>
      <c r="B479" s="38" t="s">
        <v>928</v>
      </c>
      <c r="C479" s="37"/>
      <c r="D479" s="37" t="s">
        <v>929</v>
      </c>
      <c r="E479" s="40"/>
      <c r="F479" s="40" t="s">
        <v>930</v>
      </c>
      <c r="G479" s="40" t="s">
        <v>931</v>
      </c>
      <c r="H479" s="46">
        <v>64800000000</v>
      </c>
      <c r="I479" s="42">
        <v>21.3</v>
      </c>
      <c r="J479" s="43">
        <v>45356</v>
      </c>
      <c r="K479" s="43">
        <v>46022</v>
      </c>
      <c r="L479" s="34" t="s">
        <v>932</v>
      </c>
    </row>
    <row r="480" spans="1:12" ht="17.399999999999999" x14ac:dyDescent="0.4">
      <c r="A480" s="37">
        <f t="shared" si="9"/>
        <v>99</v>
      </c>
      <c r="B480" s="38" t="s">
        <v>1054</v>
      </c>
      <c r="C480" s="37"/>
      <c r="D480" s="37" t="s">
        <v>1045</v>
      </c>
      <c r="E480" s="40"/>
      <c r="F480" s="39" t="s">
        <v>1055</v>
      </c>
      <c r="G480" s="40" t="s">
        <v>1056</v>
      </c>
      <c r="H480" s="41">
        <v>1753400000000</v>
      </c>
      <c r="I480" s="42">
        <v>29.54</v>
      </c>
      <c r="J480" s="43">
        <v>45279</v>
      </c>
      <c r="K480" s="43">
        <v>46022</v>
      </c>
      <c r="L480" s="34" t="s">
        <v>1057</v>
      </c>
    </row>
    <row r="481" spans="1:12" ht="17.399999999999999" x14ac:dyDescent="0.4">
      <c r="A481" s="37">
        <f t="shared" si="9"/>
        <v>100</v>
      </c>
      <c r="B481" s="38" t="s">
        <v>1058</v>
      </c>
      <c r="C481" s="37"/>
      <c r="D481" s="37" t="s">
        <v>1059</v>
      </c>
      <c r="E481" s="40"/>
      <c r="F481" s="39" t="s">
        <v>1060</v>
      </c>
      <c r="G481" s="40" t="s">
        <v>1061</v>
      </c>
      <c r="H481" s="41">
        <v>30000000000</v>
      </c>
      <c r="I481" s="42">
        <v>18.32</v>
      </c>
      <c r="J481" s="43">
        <v>45279</v>
      </c>
      <c r="K481" s="43">
        <v>46022</v>
      </c>
      <c r="L481" s="34" t="s">
        <v>1062</v>
      </c>
    </row>
    <row r="482" spans="1:12" ht="17.399999999999999" x14ac:dyDescent="0.4">
      <c r="A482" s="37">
        <f t="shared" si="9"/>
        <v>101</v>
      </c>
      <c r="B482" s="38" t="s">
        <v>898</v>
      </c>
      <c r="C482" s="37"/>
      <c r="D482" s="37" t="s">
        <v>1290</v>
      </c>
      <c r="E482" s="39"/>
      <c r="F482" s="39" t="s">
        <v>1291</v>
      </c>
      <c r="G482" s="39" t="s">
        <v>1292</v>
      </c>
      <c r="H482" s="41">
        <v>70000000000</v>
      </c>
      <c r="I482" s="42">
        <v>17.559999999999999</v>
      </c>
      <c r="J482" s="43">
        <v>45156</v>
      </c>
      <c r="K482" s="44">
        <v>46022</v>
      </c>
      <c r="L482" s="66" t="s">
        <v>1293</v>
      </c>
    </row>
    <row r="483" spans="1:12" ht="17.399999999999999" x14ac:dyDescent="0.4">
      <c r="A483" s="37">
        <f t="shared" si="9"/>
        <v>102</v>
      </c>
      <c r="B483" s="38" t="s">
        <v>1313</v>
      </c>
      <c r="C483" s="37"/>
      <c r="D483" s="37" t="s">
        <v>1309</v>
      </c>
      <c r="E483" s="39"/>
      <c r="F483" s="39" t="s">
        <v>491</v>
      </c>
      <c r="G483" s="39" t="s">
        <v>1314</v>
      </c>
      <c r="H483" s="41">
        <v>70000000000</v>
      </c>
      <c r="I483" s="42">
        <v>29</v>
      </c>
      <c r="J483" s="43">
        <v>44781</v>
      </c>
      <c r="K483" s="44">
        <v>46022</v>
      </c>
      <c r="L483" s="57" t="s">
        <v>1315</v>
      </c>
    </row>
    <row r="484" spans="1:12" ht="17.399999999999999" x14ac:dyDescent="0.4">
      <c r="A484" s="37">
        <f t="shared" si="9"/>
        <v>103</v>
      </c>
      <c r="B484" s="38" t="s">
        <v>1316</v>
      </c>
      <c r="C484" s="37"/>
      <c r="D484" s="37" t="s">
        <v>1309</v>
      </c>
      <c r="E484" s="39"/>
      <c r="F484" s="39" t="s">
        <v>491</v>
      </c>
      <c r="G484" s="39" t="s">
        <v>1317</v>
      </c>
      <c r="H484" s="41">
        <v>29765000000</v>
      </c>
      <c r="I484" s="42">
        <v>47.93</v>
      </c>
      <c r="J484" s="43">
        <v>44781</v>
      </c>
      <c r="K484" s="44">
        <v>46022</v>
      </c>
      <c r="L484" s="57" t="s">
        <v>1318</v>
      </c>
    </row>
    <row r="485" spans="1:12" ht="17.399999999999999" x14ac:dyDescent="0.4">
      <c r="A485" s="37">
        <f t="shared" si="9"/>
        <v>104</v>
      </c>
      <c r="B485" s="38" t="s">
        <v>114</v>
      </c>
      <c r="C485" s="37"/>
      <c r="D485" s="37" t="s">
        <v>1325</v>
      </c>
      <c r="E485" s="40"/>
      <c r="F485" s="40" t="s">
        <v>1377</v>
      </c>
      <c r="G485" s="40" t="s">
        <v>1378</v>
      </c>
      <c r="H485" s="41">
        <v>221300000000</v>
      </c>
      <c r="I485" s="42">
        <v>10.96</v>
      </c>
      <c r="J485" s="43">
        <v>45103</v>
      </c>
      <c r="K485" s="43">
        <v>46022</v>
      </c>
      <c r="L485" s="57" t="s">
        <v>1379</v>
      </c>
    </row>
    <row r="486" spans="1:12" ht="17.399999999999999" x14ac:dyDescent="0.4">
      <c r="A486" s="37">
        <f t="shared" si="9"/>
        <v>105</v>
      </c>
      <c r="B486" s="38" t="s">
        <v>1380</v>
      </c>
      <c r="C486" s="37"/>
      <c r="D486" s="37" t="s">
        <v>1381</v>
      </c>
      <c r="E486" s="40"/>
      <c r="F486" s="39" t="s">
        <v>491</v>
      </c>
      <c r="G486" s="40" t="s">
        <v>1382</v>
      </c>
      <c r="H486" s="41">
        <v>21800000000</v>
      </c>
      <c r="I486" s="42">
        <v>9.51</v>
      </c>
      <c r="J486" s="43">
        <v>45117</v>
      </c>
      <c r="K486" s="43">
        <v>46022</v>
      </c>
      <c r="L486" s="57" t="s">
        <v>1383</v>
      </c>
    </row>
    <row r="487" spans="1:12" ht="17.399999999999999" x14ac:dyDescent="0.4">
      <c r="A487" s="37">
        <f t="shared" si="9"/>
        <v>106</v>
      </c>
      <c r="B487" s="38" t="s">
        <v>1593</v>
      </c>
      <c r="C487" s="37"/>
      <c r="D487" s="37" t="s">
        <v>1589</v>
      </c>
      <c r="E487" s="39"/>
      <c r="F487" s="39" t="s">
        <v>1594</v>
      </c>
      <c r="G487" s="39" t="s">
        <v>1595</v>
      </c>
      <c r="H487" s="41">
        <v>283800000000</v>
      </c>
      <c r="I487" s="42">
        <v>17.7</v>
      </c>
      <c r="J487" s="43">
        <v>44965</v>
      </c>
      <c r="K487" s="43">
        <v>46022</v>
      </c>
      <c r="L487" s="57" t="s">
        <v>1596</v>
      </c>
    </row>
    <row r="488" spans="1:12" ht="26.4" x14ac:dyDescent="0.4">
      <c r="A488" s="37">
        <f t="shared" si="9"/>
        <v>107</v>
      </c>
      <c r="B488" s="38" t="s">
        <v>1316</v>
      </c>
      <c r="C488" s="37"/>
      <c r="D488" s="37" t="s">
        <v>1665</v>
      </c>
      <c r="E488" s="40"/>
      <c r="F488" s="39" t="s">
        <v>491</v>
      </c>
      <c r="G488" s="40" t="s">
        <v>1666</v>
      </c>
      <c r="H488" s="41">
        <v>25081000000</v>
      </c>
      <c r="I488" s="42">
        <v>48.7</v>
      </c>
      <c r="J488" s="43">
        <v>44911</v>
      </c>
      <c r="K488" s="44">
        <v>46022</v>
      </c>
      <c r="L488" s="57" t="s">
        <v>1667</v>
      </c>
    </row>
    <row r="489" spans="1:12" ht="17.399999999999999" x14ac:dyDescent="0.4">
      <c r="A489" s="37">
        <f t="shared" si="9"/>
        <v>108</v>
      </c>
      <c r="B489" s="38" t="s">
        <v>1765</v>
      </c>
      <c r="C489" s="37"/>
      <c r="D489" s="37" t="s">
        <v>1766</v>
      </c>
      <c r="E489" s="40"/>
      <c r="F489" s="40" t="s">
        <v>1767</v>
      </c>
      <c r="G489" s="40" t="s">
        <v>1768</v>
      </c>
      <c r="H489" s="41">
        <v>68000000000</v>
      </c>
      <c r="I489" s="42">
        <v>51.8</v>
      </c>
      <c r="J489" s="43">
        <v>44840</v>
      </c>
      <c r="K489" s="43">
        <v>46022</v>
      </c>
      <c r="L489" s="57" t="s">
        <v>1769</v>
      </c>
    </row>
    <row r="490" spans="1:12" ht="26.4" x14ac:dyDescent="0.4">
      <c r="A490" s="37">
        <f t="shared" si="9"/>
        <v>109</v>
      </c>
      <c r="B490" s="38" t="s">
        <v>148</v>
      </c>
      <c r="C490" s="37"/>
      <c r="D490" s="37" t="s">
        <v>2139</v>
      </c>
      <c r="E490" s="39"/>
      <c r="F490" s="40" t="s">
        <v>2115</v>
      </c>
      <c r="G490" s="40" t="s">
        <v>2140</v>
      </c>
      <c r="H490" s="41">
        <v>150000000000</v>
      </c>
      <c r="I490" s="42">
        <v>50.5</v>
      </c>
      <c r="J490" s="43">
        <v>44524</v>
      </c>
      <c r="K490" s="44">
        <v>46022</v>
      </c>
      <c r="L490" s="68" t="s">
        <v>2141</v>
      </c>
    </row>
    <row r="491" spans="1:12" ht="26.4" x14ac:dyDescent="0.4">
      <c r="A491" s="37">
        <f t="shared" si="9"/>
        <v>110</v>
      </c>
      <c r="B491" s="38" t="s">
        <v>2264</v>
      </c>
      <c r="C491" s="37"/>
      <c r="D491" s="37" t="s">
        <v>2265</v>
      </c>
      <c r="E491" s="39"/>
      <c r="F491" s="40"/>
      <c r="G491" s="40" t="s">
        <v>2266</v>
      </c>
      <c r="H491" s="45">
        <v>1321600000000</v>
      </c>
      <c r="I491" s="42">
        <v>4</v>
      </c>
      <c r="J491" s="43">
        <v>44428</v>
      </c>
      <c r="K491" s="43">
        <v>46022</v>
      </c>
      <c r="L491" s="57" t="s">
        <v>2267</v>
      </c>
    </row>
    <row r="492" spans="1:12" ht="26.4" x14ac:dyDescent="0.4">
      <c r="A492" s="37">
        <f t="shared" si="9"/>
        <v>111</v>
      </c>
      <c r="B492" s="38" t="s">
        <v>1869</v>
      </c>
      <c r="C492" s="37"/>
      <c r="D492" s="37" t="s">
        <v>2647</v>
      </c>
      <c r="E492" s="39"/>
      <c r="F492" s="39" t="s">
        <v>1871</v>
      </c>
      <c r="G492" s="40" t="s">
        <v>2648</v>
      </c>
      <c r="H492" s="41">
        <v>2167500000000</v>
      </c>
      <c r="I492" s="42">
        <v>24.5</v>
      </c>
      <c r="J492" s="43">
        <v>43800</v>
      </c>
      <c r="K492" s="43">
        <v>46022</v>
      </c>
      <c r="L492" s="74" t="s">
        <v>2649</v>
      </c>
    </row>
    <row r="493" spans="1:12" ht="26.4" x14ac:dyDescent="0.4">
      <c r="A493" s="37">
        <f t="shared" si="9"/>
        <v>112</v>
      </c>
      <c r="B493" s="38" t="s">
        <v>973</v>
      </c>
      <c r="C493" s="37"/>
      <c r="D493" s="37" t="s">
        <v>2905</v>
      </c>
      <c r="E493" s="39"/>
      <c r="F493" s="39" t="s">
        <v>1177</v>
      </c>
      <c r="G493" s="40" t="s">
        <v>2906</v>
      </c>
      <c r="H493" s="41">
        <v>7447143600000</v>
      </c>
      <c r="I493" s="42">
        <v>226</v>
      </c>
      <c r="J493" s="43">
        <v>43664</v>
      </c>
      <c r="K493" s="43">
        <v>46022</v>
      </c>
      <c r="L493" s="74" t="s">
        <v>2907</v>
      </c>
    </row>
    <row r="494" spans="1:12" ht="17.399999999999999" x14ac:dyDescent="0.4">
      <c r="A494" s="37">
        <f t="shared" si="9"/>
        <v>113</v>
      </c>
      <c r="B494" s="38" t="s">
        <v>639</v>
      </c>
      <c r="C494" s="37"/>
      <c r="D494" s="37" t="s">
        <v>640</v>
      </c>
      <c r="E494" s="39"/>
      <c r="F494" s="40" t="s">
        <v>641</v>
      </c>
      <c r="G494" s="40" t="s">
        <v>642</v>
      </c>
      <c r="H494" s="41">
        <v>138270000000</v>
      </c>
      <c r="I494" s="42">
        <v>23.65</v>
      </c>
      <c r="J494" s="43">
        <v>45492</v>
      </c>
      <c r="K494" s="43">
        <v>46071</v>
      </c>
      <c r="L494" s="34" t="s">
        <v>643</v>
      </c>
    </row>
    <row r="495" spans="1:12" ht="17.399999999999999" x14ac:dyDescent="0.4">
      <c r="A495" s="37">
        <f t="shared" si="9"/>
        <v>114</v>
      </c>
      <c r="B495" s="38" t="s">
        <v>482</v>
      </c>
      <c r="C495" s="37"/>
      <c r="D495" s="37" t="s">
        <v>483</v>
      </c>
      <c r="E495" s="39"/>
      <c r="F495" s="40" t="s">
        <v>484</v>
      </c>
      <c r="G495" s="40" t="s">
        <v>485</v>
      </c>
      <c r="H495" s="41">
        <v>55000000000</v>
      </c>
      <c r="I495" s="42">
        <v>100.15</v>
      </c>
      <c r="J495" s="43">
        <v>45540</v>
      </c>
      <c r="K495" s="43">
        <v>46081</v>
      </c>
      <c r="L495" s="34" t="s">
        <v>486</v>
      </c>
    </row>
    <row r="496" spans="1:12" ht="17.399999999999999" x14ac:dyDescent="0.4">
      <c r="A496" s="37">
        <f t="shared" si="9"/>
        <v>115</v>
      </c>
      <c r="B496" s="38" t="s">
        <v>1660</v>
      </c>
      <c r="C496" s="37"/>
      <c r="D496" s="37" t="s">
        <v>1661</v>
      </c>
      <c r="E496" s="40"/>
      <c r="F496" s="39" t="s">
        <v>1662</v>
      </c>
      <c r="G496" s="40" t="s">
        <v>1663</v>
      </c>
      <c r="H496" s="41">
        <v>85000000000</v>
      </c>
      <c r="I496" s="42">
        <v>37.590000000000003</v>
      </c>
      <c r="J496" s="43">
        <v>44914</v>
      </c>
      <c r="K496" s="44">
        <v>46112</v>
      </c>
      <c r="L496" s="57" t="s">
        <v>1664</v>
      </c>
    </row>
    <row r="497" spans="1:12" ht="17.399999999999999" x14ac:dyDescent="0.4">
      <c r="A497" s="37">
        <f t="shared" si="9"/>
        <v>116</v>
      </c>
      <c r="B497" s="38" t="s">
        <v>15</v>
      </c>
      <c r="C497" s="37"/>
      <c r="D497" s="37" t="s">
        <v>1110</v>
      </c>
      <c r="E497" s="40"/>
      <c r="F497" s="39" t="s">
        <v>1113</v>
      </c>
      <c r="G497" s="55" t="s">
        <v>1114</v>
      </c>
      <c r="H497" s="45">
        <v>222000000000</v>
      </c>
      <c r="I497" s="42">
        <v>10.51</v>
      </c>
      <c r="J497" s="43">
        <v>45292</v>
      </c>
      <c r="K497" s="44">
        <v>46113</v>
      </c>
      <c r="L497" s="34" t="s">
        <v>1115</v>
      </c>
    </row>
    <row r="498" spans="1:12" ht="17.399999999999999" x14ac:dyDescent="0.4">
      <c r="A498" s="37">
        <f t="shared" si="9"/>
        <v>117</v>
      </c>
      <c r="B498" s="38" t="s">
        <v>508</v>
      </c>
      <c r="C498" s="37"/>
      <c r="D498" s="37" t="s">
        <v>509</v>
      </c>
      <c r="E498" s="39"/>
      <c r="F498" s="40" t="s">
        <v>510</v>
      </c>
      <c r="G498" s="40" t="s">
        <v>511</v>
      </c>
      <c r="H498" s="41">
        <v>191800000000</v>
      </c>
      <c r="I498" s="42">
        <v>7.86</v>
      </c>
      <c r="J498" s="43">
        <v>45537</v>
      </c>
      <c r="K498" s="43">
        <v>46142</v>
      </c>
      <c r="L498" s="34" t="s">
        <v>512</v>
      </c>
    </row>
    <row r="499" spans="1:12" ht="17.399999999999999" x14ac:dyDescent="0.4">
      <c r="A499" s="37">
        <f t="shared" si="9"/>
        <v>118</v>
      </c>
      <c r="B499" s="38" t="s">
        <v>723</v>
      </c>
      <c r="C499" s="37"/>
      <c r="D499" s="37" t="s">
        <v>1585</v>
      </c>
      <c r="E499" s="39"/>
      <c r="F499" s="39" t="s">
        <v>1586</v>
      </c>
      <c r="G499" s="39" t="s">
        <v>1587</v>
      </c>
      <c r="H499" s="41">
        <v>1412820295400</v>
      </c>
      <c r="I499" s="42">
        <v>13.64</v>
      </c>
      <c r="J499" s="43">
        <v>44971</v>
      </c>
      <c r="K499" s="43">
        <v>46173</v>
      </c>
      <c r="L499" s="57" t="s">
        <v>1588</v>
      </c>
    </row>
    <row r="500" spans="1:12" ht="26.4" x14ac:dyDescent="0.4">
      <c r="A500" s="37">
        <f t="shared" si="9"/>
        <v>119</v>
      </c>
      <c r="B500" s="38" t="s">
        <v>692</v>
      </c>
      <c r="C500" s="37" t="s">
        <v>693</v>
      </c>
      <c r="D500" s="37" t="s">
        <v>694</v>
      </c>
      <c r="E500" s="40" t="s">
        <v>695</v>
      </c>
      <c r="F500" s="40" t="s">
        <v>696</v>
      </c>
      <c r="G500" s="40" t="s">
        <v>697</v>
      </c>
      <c r="H500" s="46">
        <v>30000000000</v>
      </c>
      <c r="I500" s="42">
        <v>158.6</v>
      </c>
      <c r="J500" s="43">
        <v>43866</v>
      </c>
      <c r="K500" s="43">
        <v>46203</v>
      </c>
      <c r="L500" s="34" t="s">
        <v>698</v>
      </c>
    </row>
    <row r="501" spans="1:12" ht="17.399999999999999" x14ac:dyDescent="0.4">
      <c r="A501" s="37">
        <f t="shared" si="9"/>
        <v>120</v>
      </c>
      <c r="B501" s="38" t="s">
        <v>909</v>
      </c>
      <c r="C501" s="37"/>
      <c r="D501" s="37" t="s">
        <v>910</v>
      </c>
      <c r="E501" s="40"/>
      <c r="F501" s="40" t="s">
        <v>911</v>
      </c>
      <c r="G501" s="40" t="s">
        <v>912</v>
      </c>
      <c r="H501" s="46">
        <v>220500000000</v>
      </c>
      <c r="I501" s="42">
        <v>10.29</v>
      </c>
      <c r="J501" s="43">
        <v>45488</v>
      </c>
      <c r="K501" s="43">
        <v>46203</v>
      </c>
      <c r="L501" s="34" t="s">
        <v>913</v>
      </c>
    </row>
    <row r="502" spans="1:12" ht="17.399999999999999" x14ac:dyDescent="0.4">
      <c r="A502" s="37">
        <f t="shared" si="9"/>
        <v>121</v>
      </c>
      <c r="B502" s="38" t="s">
        <v>1464</v>
      </c>
      <c r="C502" s="37"/>
      <c r="D502" s="37" t="s">
        <v>1218</v>
      </c>
      <c r="E502" s="39"/>
      <c r="F502" s="39" t="s">
        <v>1465</v>
      </c>
      <c r="G502" s="39" t="s">
        <v>1466</v>
      </c>
      <c r="H502" s="41">
        <v>101360000000</v>
      </c>
      <c r="I502" s="42">
        <v>13.7</v>
      </c>
      <c r="J502" s="43">
        <v>45048</v>
      </c>
      <c r="K502" s="43">
        <v>46203</v>
      </c>
      <c r="L502" s="57" t="s">
        <v>1467</v>
      </c>
    </row>
    <row r="503" spans="1:12" ht="17.399999999999999" x14ac:dyDescent="0.4">
      <c r="A503" s="37">
        <f t="shared" si="9"/>
        <v>122</v>
      </c>
      <c r="B503" s="38" t="s">
        <v>1713</v>
      </c>
      <c r="C503" s="37" t="s">
        <v>1714</v>
      </c>
      <c r="D503" s="37" t="s">
        <v>1714</v>
      </c>
      <c r="E503" s="40" t="s">
        <v>1715</v>
      </c>
      <c r="F503" s="39" t="s">
        <v>491</v>
      </c>
      <c r="G503" s="39" t="s">
        <v>1716</v>
      </c>
      <c r="H503" s="41">
        <v>9258000000000</v>
      </c>
      <c r="I503" s="42">
        <v>132.5</v>
      </c>
      <c r="J503" s="43">
        <v>44928</v>
      </c>
      <c r="K503" s="43">
        <v>46203</v>
      </c>
      <c r="L503" s="57" t="s">
        <v>1717</v>
      </c>
    </row>
    <row r="504" spans="1:12" ht="17.399999999999999" x14ac:dyDescent="0.4">
      <c r="A504" s="37">
        <f t="shared" si="9"/>
        <v>123</v>
      </c>
      <c r="B504" s="38" t="s">
        <v>2372</v>
      </c>
      <c r="C504" s="37"/>
      <c r="D504" s="37" t="s">
        <v>2368</v>
      </c>
      <c r="E504" s="39"/>
      <c r="F504" s="39" t="s">
        <v>2369</v>
      </c>
      <c r="G504" s="39" t="s">
        <v>2373</v>
      </c>
      <c r="H504" s="41">
        <v>269600000000</v>
      </c>
      <c r="I504" s="42">
        <v>14.9</v>
      </c>
      <c r="J504" s="43">
        <v>45078</v>
      </c>
      <c r="K504" s="43">
        <v>46203</v>
      </c>
      <c r="L504" s="74" t="s">
        <v>2374</v>
      </c>
    </row>
    <row r="505" spans="1:12" ht="17.399999999999999" x14ac:dyDescent="0.4">
      <c r="A505" s="37">
        <f t="shared" si="9"/>
        <v>124</v>
      </c>
      <c r="B505" s="38" t="s">
        <v>1825</v>
      </c>
      <c r="C505" s="37"/>
      <c r="D505" s="37" t="s">
        <v>1826</v>
      </c>
      <c r="E505" s="39"/>
      <c r="F505" s="39" t="s">
        <v>1827</v>
      </c>
      <c r="G505" s="40" t="s">
        <v>1828</v>
      </c>
      <c r="H505" s="41">
        <v>558454400000</v>
      </c>
      <c r="I505" s="42">
        <v>15.5</v>
      </c>
      <c r="J505" s="43">
        <v>44804</v>
      </c>
      <c r="K505" s="43">
        <v>46229</v>
      </c>
      <c r="L505" s="57" t="s">
        <v>1829</v>
      </c>
    </row>
    <row r="506" spans="1:12" ht="17.399999999999999" x14ac:dyDescent="0.4">
      <c r="A506" s="37">
        <f t="shared" si="9"/>
        <v>125</v>
      </c>
      <c r="B506" s="38" t="s">
        <v>944</v>
      </c>
      <c r="C506" s="37"/>
      <c r="D506" s="37" t="s">
        <v>935</v>
      </c>
      <c r="E506" s="40"/>
      <c r="F506" s="40" t="s">
        <v>941</v>
      </c>
      <c r="G506" s="40" t="s">
        <v>945</v>
      </c>
      <c r="H506" s="46">
        <v>86000000000</v>
      </c>
      <c r="I506" s="42">
        <v>69.09</v>
      </c>
      <c r="J506" s="43">
        <v>45352</v>
      </c>
      <c r="K506" s="43">
        <v>46295</v>
      </c>
      <c r="L506" s="34" t="s">
        <v>946</v>
      </c>
    </row>
    <row r="507" spans="1:12" ht="17.399999999999999" x14ac:dyDescent="0.4">
      <c r="A507" s="37">
        <f t="shared" si="9"/>
        <v>126</v>
      </c>
      <c r="B507" s="38" t="s">
        <v>980</v>
      </c>
      <c r="C507" s="37"/>
      <c r="D507" s="37" t="s">
        <v>981</v>
      </c>
      <c r="E507" s="40"/>
      <c r="F507" s="40" t="s">
        <v>959</v>
      </c>
      <c r="G507" s="39" t="s">
        <v>982</v>
      </c>
      <c r="H507" s="45">
        <v>57343000000</v>
      </c>
      <c r="I507" s="42">
        <v>110</v>
      </c>
      <c r="J507" s="43" t="s">
        <v>983</v>
      </c>
      <c r="K507" s="44">
        <v>46295</v>
      </c>
      <c r="L507" s="34" t="s">
        <v>984</v>
      </c>
    </row>
    <row r="508" spans="1:12" ht="39.6" x14ac:dyDescent="0.4">
      <c r="A508" s="37">
        <f t="shared" si="9"/>
        <v>127</v>
      </c>
      <c r="B508" s="38" t="s">
        <v>862</v>
      </c>
      <c r="C508" s="37"/>
      <c r="D508" s="37" t="s">
        <v>863</v>
      </c>
      <c r="E508" s="39"/>
      <c r="F508" s="39" t="s">
        <v>864</v>
      </c>
      <c r="G508" s="40" t="s">
        <v>865</v>
      </c>
      <c r="H508" s="41">
        <v>5296200000000</v>
      </c>
      <c r="I508" s="42">
        <v>9.9</v>
      </c>
      <c r="J508" s="43">
        <v>45406</v>
      </c>
      <c r="K508" s="43">
        <v>46325</v>
      </c>
      <c r="L508" s="34" t="s">
        <v>866</v>
      </c>
    </row>
    <row r="509" spans="1:12" ht="17.399999999999999" x14ac:dyDescent="0.4">
      <c r="A509" s="37">
        <f t="shared" si="9"/>
        <v>128</v>
      </c>
      <c r="B509" s="38" t="s">
        <v>548</v>
      </c>
      <c r="C509" s="37"/>
      <c r="D509" s="37" t="s">
        <v>549</v>
      </c>
      <c r="E509" s="39"/>
      <c r="F509" s="40" t="s">
        <v>550</v>
      </c>
      <c r="G509" s="40" t="s">
        <v>551</v>
      </c>
      <c r="H509" s="41">
        <v>65000000000</v>
      </c>
      <c r="I509" s="42">
        <v>179.92</v>
      </c>
      <c r="J509" s="43">
        <v>45566</v>
      </c>
      <c r="K509" s="43">
        <v>46383</v>
      </c>
      <c r="L509" s="34" t="s">
        <v>552</v>
      </c>
    </row>
    <row r="510" spans="1:12" ht="26.4" x14ac:dyDescent="0.4">
      <c r="A510" s="37">
        <f t="shared" si="9"/>
        <v>129</v>
      </c>
      <c r="B510" s="38" t="s">
        <v>1037</v>
      </c>
      <c r="C510" s="37" t="s">
        <v>1038</v>
      </c>
      <c r="D510" s="37" t="s">
        <v>1039</v>
      </c>
      <c r="E510" s="40" t="s">
        <v>1040</v>
      </c>
      <c r="F510" s="39" t="s">
        <v>491</v>
      </c>
      <c r="G510" s="39" t="s">
        <v>1041</v>
      </c>
      <c r="H510" s="41">
        <v>31464275000</v>
      </c>
      <c r="I510" s="42">
        <v>70.53</v>
      </c>
      <c r="J510" s="43">
        <v>44835</v>
      </c>
      <c r="K510" s="43">
        <v>46385</v>
      </c>
      <c r="L510" s="34" t="s">
        <v>1042</v>
      </c>
    </row>
    <row r="511" spans="1:12" ht="17.399999999999999" x14ac:dyDescent="0.4">
      <c r="A511" s="37">
        <f t="shared" ref="A511:A543" si="10">A510+1</f>
        <v>130</v>
      </c>
      <c r="B511" s="38" t="s">
        <v>553</v>
      </c>
      <c r="C511" s="37"/>
      <c r="D511" s="37" t="s">
        <v>554</v>
      </c>
      <c r="E511" s="39"/>
      <c r="F511" s="40" t="s">
        <v>555</v>
      </c>
      <c r="G511" s="40" t="s">
        <v>556</v>
      </c>
      <c r="H511" s="41">
        <v>85460000000</v>
      </c>
      <c r="I511" s="42">
        <v>59.19</v>
      </c>
      <c r="J511" s="43">
        <v>45518</v>
      </c>
      <c r="K511" s="43">
        <v>46387</v>
      </c>
      <c r="L511" s="34" t="s">
        <v>557</v>
      </c>
    </row>
    <row r="512" spans="1:12" ht="17.399999999999999" x14ac:dyDescent="0.4">
      <c r="A512" s="37">
        <f t="shared" si="10"/>
        <v>131</v>
      </c>
      <c r="B512" s="38" t="s">
        <v>569</v>
      </c>
      <c r="C512" s="37"/>
      <c r="D512" s="37" t="s">
        <v>559</v>
      </c>
      <c r="E512" s="39"/>
      <c r="F512" s="40" t="s">
        <v>570</v>
      </c>
      <c r="G512" s="40" t="s">
        <v>571</v>
      </c>
      <c r="H512" s="41">
        <v>150000000000</v>
      </c>
      <c r="I512" s="42">
        <v>3.72</v>
      </c>
      <c r="J512" s="43">
        <v>45517</v>
      </c>
      <c r="K512" s="43">
        <v>46387</v>
      </c>
      <c r="L512" s="34" t="s">
        <v>572</v>
      </c>
    </row>
    <row r="513" spans="1:12" ht="17.399999999999999" x14ac:dyDescent="0.4">
      <c r="A513" s="37">
        <f t="shared" si="10"/>
        <v>132</v>
      </c>
      <c r="B513" s="38" t="s">
        <v>644</v>
      </c>
      <c r="C513" s="37"/>
      <c r="D513" s="37" t="s">
        <v>645</v>
      </c>
      <c r="E513" s="39"/>
      <c r="F513" s="40" t="s">
        <v>646</v>
      </c>
      <c r="G513" s="40" t="s">
        <v>647</v>
      </c>
      <c r="H513" s="41">
        <v>60500000000</v>
      </c>
      <c r="I513" s="42">
        <v>16.2</v>
      </c>
      <c r="J513" s="43">
        <v>45491</v>
      </c>
      <c r="K513" s="43">
        <v>46387</v>
      </c>
      <c r="L513" s="34" t="s">
        <v>648</v>
      </c>
    </row>
    <row r="514" spans="1:12" ht="17.399999999999999" x14ac:dyDescent="0.4">
      <c r="A514" s="37">
        <f t="shared" si="10"/>
        <v>133</v>
      </c>
      <c r="B514" s="38" t="s">
        <v>699</v>
      </c>
      <c r="C514" s="37" t="s">
        <v>700</v>
      </c>
      <c r="D514" s="37" t="s">
        <v>688</v>
      </c>
      <c r="E514" s="39" t="s">
        <v>701</v>
      </c>
      <c r="F514" s="40" t="s">
        <v>702</v>
      </c>
      <c r="G514" s="40" t="s">
        <v>703</v>
      </c>
      <c r="H514" s="45">
        <v>379000000000</v>
      </c>
      <c r="I514" s="42">
        <v>8.2100000000000009</v>
      </c>
      <c r="J514" s="43">
        <v>44377</v>
      </c>
      <c r="K514" s="43">
        <v>46387</v>
      </c>
      <c r="L514" s="34" t="s">
        <v>704</v>
      </c>
    </row>
    <row r="515" spans="1:12" ht="17.399999999999999" x14ac:dyDescent="0.4">
      <c r="A515" s="37">
        <f t="shared" si="10"/>
        <v>134</v>
      </c>
      <c r="B515" s="38" t="s">
        <v>712</v>
      </c>
      <c r="C515" s="37"/>
      <c r="D515" s="37" t="s">
        <v>707</v>
      </c>
      <c r="E515" s="40"/>
      <c r="F515" s="39" t="s">
        <v>713</v>
      </c>
      <c r="G515" s="40" t="s">
        <v>714</v>
      </c>
      <c r="H515" s="41">
        <v>1152951630526</v>
      </c>
      <c r="I515" s="42">
        <v>165</v>
      </c>
      <c r="J515" s="43">
        <v>45468</v>
      </c>
      <c r="K515" s="43">
        <v>46387</v>
      </c>
      <c r="L515" s="34" t="s">
        <v>715</v>
      </c>
    </row>
    <row r="516" spans="1:12" ht="17.399999999999999" x14ac:dyDescent="0.4">
      <c r="A516" s="37">
        <f t="shared" si="10"/>
        <v>135</v>
      </c>
      <c r="B516" s="38" t="s">
        <v>1063</v>
      </c>
      <c r="C516" s="37" t="s">
        <v>1064</v>
      </c>
      <c r="D516" s="37" t="s">
        <v>1059</v>
      </c>
      <c r="E516" s="39" t="s">
        <v>1065</v>
      </c>
      <c r="F516" s="39" t="s">
        <v>1066</v>
      </c>
      <c r="G516" s="39" t="s">
        <v>1067</v>
      </c>
      <c r="H516" s="41">
        <v>75000000000</v>
      </c>
      <c r="I516" s="42">
        <v>35.5</v>
      </c>
      <c r="J516" s="43">
        <v>41449</v>
      </c>
      <c r="K516" s="43">
        <v>46387</v>
      </c>
      <c r="L516" s="34" t="s">
        <v>1068</v>
      </c>
    </row>
    <row r="517" spans="1:12" ht="17.399999999999999" x14ac:dyDescent="0.4">
      <c r="A517" s="37">
        <f t="shared" si="10"/>
        <v>136</v>
      </c>
      <c r="B517" s="38" t="s">
        <v>1105</v>
      </c>
      <c r="C517" s="37"/>
      <c r="D517" s="37" t="s">
        <v>1100</v>
      </c>
      <c r="E517" s="40"/>
      <c r="F517" s="39" t="s">
        <v>1106</v>
      </c>
      <c r="G517" s="55" t="s">
        <v>1107</v>
      </c>
      <c r="H517" s="45">
        <v>189470515000</v>
      </c>
      <c r="I517" s="42">
        <v>19.68</v>
      </c>
      <c r="J517" s="43">
        <v>45267</v>
      </c>
      <c r="K517" s="44">
        <v>46387</v>
      </c>
      <c r="L517" s="34" t="s">
        <v>1108</v>
      </c>
    </row>
    <row r="518" spans="1:12" ht="17.399999999999999" x14ac:dyDescent="0.4">
      <c r="A518" s="37">
        <f t="shared" si="10"/>
        <v>137</v>
      </c>
      <c r="B518" s="38" t="s">
        <v>256</v>
      </c>
      <c r="C518" s="37"/>
      <c r="D518" s="37" t="s">
        <v>1182</v>
      </c>
      <c r="E518" s="40"/>
      <c r="F518" s="39" t="s">
        <v>1186</v>
      </c>
      <c r="G518" s="40" t="s">
        <v>1187</v>
      </c>
      <c r="H518" s="41">
        <v>579400000000</v>
      </c>
      <c r="I518" s="42">
        <v>24.87</v>
      </c>
      <c r="J518" s="43">
        <v>45225</v>
      </c>
      <c r="K518" s="43">
        <v>46387</v>
      </c>
      <c r="L518" s="66" t="s">
        <v>1188</v>
      </c>
    </row>
    <row r="519" spans="1:12" ht="17.399999999999999" x14ac:dyDescent="0.4">
      <c r="A519" s="37">
        <f t="shared" si="10"/>
        <v>138</v>
      </c>
      <c r="B519" s="38" t="s">
        <v>1499</v>
      </c>
      <c r="C519" s="37"/>
      <c r="D519" s="37" t="s">
        <v>1500</v>
      </c>
      <c r="E519" s="39"/>
      <c r="F519" s="39" t="s">
        <v>1501</v>
      </c>
      <c r="G519" s="40" t="s">
        <v>1502</v>
      </c>
      <c r="H519" s="41">
        <v>195100000000</v>
      </c>
      <c r="I519" s="42">
        <v>24.26</v>
      </c>
      <c r="J519" s="43">
        <v>45022</v>
      </c>
      <c r="K519" s="43">
        <v>46387</v>
      </c>
      <c r="L519" s="57" t="s">
        <v>1503</v>
      </c>
    </row>
    <row r="520" spans="1:12" ht="26.4" x14ac:dyDescent="0.4">
      <c r="A520" s="37">
        <f t="shared" si="10"/>
        <v>139</v>
      </c>
      <c r="B520" s="38" t="s">
        <v>1094</v>
      </c>
      <c r="C520" s="37"/>
      <c r="D520" s="37" t="s">
        <v>1090</v>
      </c>
      <c r="E520" s="40"/>
      <c r="F520" s="39" t="s">
        <v>1095</v>
      </c>
      <c r="G520" s="55" t="s">
        <v>1096</v>
      </c>
      <c r="H520" s="45">
        <v>156977000000</v>
      </c>
      <c r="I520" s="42">
        <v>8.06</v>
      </c>
      <c r="J520" s="43">
        <v>45268</v>
      </c>
      <c r="K520" s="44">
        <v>46418</v>
      </c>
      <c r="L520" s="34" t="s">
        <v>1097</v>
      </c>
    </row>
    <row r="521" spans="1:12" ht="17.399999999999999" x14ac:dyDescent="0.4">
      <c r="A521" s="37">
        <f t="shared" si="10"/>
        <v>140</v>
      </c>
      <c r="B521" s="38" t="s">
        <v>676</v>
      </c>
      <c r="C521" s="37"/>
      <c r="D521" s="37" t="s">
        <v>677</v>
      </c>
      <c r="E521" s="40"/>
      <c r="F521" s="39" t="s">
        <v>479</v>
      </c>
      <c r="G521" s="40" t="s">
        <v>678</v>
      </c>
      <c r="H521" s="45">
        <v>220585440000</v>
      </c>
      <c r="I521" s="42">
        <v>54.6</v>
      </c>
      <c r="J521" s="43">
        <v>45477</v>
      </c>
      <c r="K521" s="43">
        <v>46477</v>
      </c>
      <c r="L521" s="34" t="s">
        <v>679</v>
      </c>
    </row>
    <row r="522" spans="1:12" ht="17.399999999999999" x14ac:dyDescent="0.4">
      <c r="A522" s="37">
        <f t="shared" si="10"/>
        <v>141</v>
      </c>
      <c r="B522" s="38" t="s">
        <v>904</v>
      </c>
      <c r="C522" s="37"/>
      <c r="D522" s="37" t="s">
        <v>905</v>
      </c>
      <c r="E522" s="40"/>
      <c r="F522" s="40" t="s">
        <v>906</v>
      </c>
      <c r="G522" s="40" t="s">
        <v>907</v>
      </c>
      <c r="H522" s="46">
        <v>277127680800</v>
      </c>
      <c r="I522" s="42">
        <v>6.2</v>
      </c>
      <c r="J522" s="43">
        <v>45384</v>
      </c>
      <c r="K522" s="43">
        <v>46505</v>
      </c>
      <c r="L522" s="34" t="s">
        <v>908</v>
      </c>
    </row>
    <row r="523" spans="1:12" ht="26.4" x14ac:dyDescent="0.4">
      <c r="A523" s="37">
        <f t="shared" si="10"/>
        <v>142</v>
      </c>
      <c r="B523" s="38" t="s">
        <v>544</v>
      </c>
      <c r="C523" s="37"/>
      <c r="D523" s="37" t="s">
        <v>545</v>
      </c>
      <c r="E523" s="39"/>
      <c r="F523" s="40" t="s">
        <v>479</v>
      </c>
      <c r="G523" s="40" t="s">
        <v>546</v>
      </c>
      <c r="H523" s="41">
        <v>140000000000</v>
      </c>
      <c r="I523" s="42">
        <v>38.01</v>
      </c>
      <c r="J523" s="43">
        <v>45524</v>
      </c>
      <c r="K523" s="43">
        <v>46538</v>
      </c>
      <c r="L523" s="34" t="s">
        <v>547</v>
      </c>
    </row>
    <row r="524" spans="1:12" ht="39.6" x14ac:dyDescent="0.4">
      <c r="A524" s="37">
        <f t="shared" si="10"/>
        <v>143</v>
      </c>
      <c r="B524" s="38" t="s">
        <v>872</v>
      </c>
      <c r="C524" s="37"/>
      <c r="D524" s="37" t="s">
        <v>873</v>
      </c>
      <c r="E524" s="39"/>
      <c r="F524" s="39" t="s">
        <v>874</v>
      </c>
      <c r="G524" s="40" t="s">
        <v>875</v>
      </c>
      <c r="H524" s="41">
        <v>296400000000</v>
      </c>
      <c r="I524" s="42">
        <v>81.78</v>
      </c>
      <c r="J524" s="43">
        <v>45444</v>
      </c>
      <c r="K524" s="43">
        <v>46538</v>
      </c>
      <c r="L524" s="34" t="s">
        <v>876</v>
      </c>
    </row>
    <row r="525" spans="1:12" ht="17.399999999999999" x14ac:dyDescent="0.4">
      <c r="A525" s="37">
        <f t="shared" si="10"/>
        <v>144</v>
      </c>
      <c r="B525" s="38" t="s">
        <v>752</v>
      </c>
      <c r="C525" s="37"/>
      <c r="D525" s="37" t="s">
        <v>748</v>
      </c>
      <c r="E525" s="39"/>
      <c r="F525" s="39" t="s">
        <v>753</v>
      </c>
      <c r="G525" s="39" t="s">
        <v>754</v>
      </c>
      <c r="H525" s="41">
        <v>229000000000</v>
      </c>
      <c r="I525" s="42">
        <v>9.3800000000000008</v>
      </c>
      <c r="J525" s="43">
        <v>45454</v>
      </c>
      <c r="K525" s="44">
        <v>46691</v>
      </c>
      <c r="L525" s="34" t="s">
        <v>755</v>
      </c>
    </row>
    <row r="526" spans="1:12" ht="17.399999999999999" x14ac:dyDescent="0.4">
      <c r="A526" s="37">
        <f t="shared" si="10"/>
        <v>145</v>
      </c>
      <c r="B526" s="38" t="s">
        <v>853</v>
      </c>
      <c r="C526" s="37"/>
      <c r="D526" s="37" t="s">
        <v>717</v>
      </c>
      <c r="E526" s="39"/>
      <c r="F526" s="39" t="s">
        <v>854</v>
      </c>
      <c r="G526" s="40" t="s">
        <v>855</v>
      </c>
      <c r="H526" s="41">
        <v>42300000000</v>
      </c>
      <c r="I526" s="42">
        <v>12.53</v>
      </c>
      <c r="J526" s="43">
        <v>45411</v>
      </c>
      <c r="K526" s="43">
        <v>46752</v>
      </c>
      <c r="L526" s="34" t="s">
        <v>856</v>
      </c>
    </row>
    <row r="527" spans="1:12" ht="17.399999999999999" x14ac:dyDescent="0.4">
      <c r="A527" s="37">
        <f t="shared" si="10"/>
        <v>146</v>
      </c>
      <c r="B527" s="38" t="s">
        <v>973</v>
      </c>
      <c r="C527" s="37" t="s">
        <v>974</v>
      </c>
      <c r="D527" s="37" t="s">
        <v>975</v>
      </c>
      <c r="E527" s="39" t="s">
        <v>976</v>
      </c>
      <c r="F527" s="39" t="s">
        <v>977</v>
      </c>
      <c r="G527" s="39" t="s">
        <v>978</v>
      </c>
      <c r="H527" s="41">
        <v>578000000000</v>
      </c>
      <c r="I527" s="42">
        <v>5.37</v>
      </c>
      <c r="J527" s="43">
        <v>44531</v>
      </c>
      <c r="K527" s="44">
        <v>46752</v>
      </c>
      <c r="L527" s="34" t="s">
        <v>979</v>
      </c>
    </row>
    <row r="528" spans="1:12" ht="17.399999999999999" x14ac:dyDescent="0.4">
      <c r="A528" s="37">
        <f t="shared" si="10"/>
        <v>147</v>
      </c>
      <c r="B528" s="38" t="s">
        <v>1542</v>
      </c>
      <c r="C528" s="37" t="s">
        <v>1543</v>
      </c>
      <c r="D528" s="37" t="s">
        <v>794</v>
      </c>
      <c r="E528" s="39" t="s">
        <v>1544</v>
      </c>
      <c r="F528" s="39" t="s">
        <v>1545</v>
      </c>
      <c r="G528" s="39" t="s">
        <v>1546</v>
      </c>
      <c r="H528" s="41">
        <v>3000000000000</v>
      </c>
      <c r="I528" s="42">
        <v>20.2</v>
      </c>
      <c r="J528" s="43">
        <v>43668</v>
      </c>
      <c r="K528" s="43">
        <v>46843</v>
      </c>
      <c r="L528" s="57" t="s">
        <v>1547</v>
      </c>
    </row>
    <row r="529" spans="1:12" ht="17.399999999999999" x14ac:dyDescent="0.4">
      <c r="A529" s="37">
        <f t="shared" si="10"/>
        <v>148</v>
      </c>
      <c r="B529" s="38" t="s">
        <v>826</v>
      </c>
      <c r="C529" s="37"/>
      <c r="D529" s="37" t="s">
        <v>827</v>
      </c>
      <c r="E529" s="40"/>
      <c r="F529" s="40" t="s">
        <v>828</v>
      </c>
      <c r="G529" s="40" t="s">
        <v>829</v>
      </c>
      <c r="H529" s="45">
        <v>133115820600</v>
      </c>
      <c r="I529" s="42">
        <v>2.82</v>
      </c>
      <c r="J529" s="44">
        <v>45429</v>
      </c>
      <c r="K529" s="44">
        <v>46870</v>
      </c>
      <c r="L529" s="34" t="s">
        <v>830</v>
      </c>
    </row>
    <row r="530" spans="1:12" ht="17.399999999999999" x14ac:dyDescent="0.4">
      <c r="A530" s="37">
        <f t="shared" si="10"/>
        <v>149</v>
      </c>
      <c r="B530" s="38" t="s">
        <v>608</v>
      </c>
      <c r="C530" s="37"/>
      <c r="D530" s="37" t="s">
        <v>609</v>
      </c>
      <c r="E530" s="39"/>
      <c r="F530" s="40" t="s">
        <v>610</v>
      </c>
      <c r="G530" s="40" t="s">
        <v>611</v>
      </c>
      <c r="H530" s="41">
        <v>300000000000</v>
      </c>
      <c r="I530" s="42">
        <v>140.4</v>
      </c>
      <c r="J530" s="43">
        <v>45503</v>
      </c>
      <c r="K530" s="43">
        <v>47118</v>
      </c>
      <c r="L530" s="34" t="s">
        <v>612</v>
      </c>
    </row>
    <row r="531" spans="1:12" ht="26.4" x14ac:dyDescent="0.4">
      <c r="A531" s="37">
        <f t="shared" si="10"/>
        <v>150</v>
      </c>
      <c r="B531" s="38" t="s">
        <v>434</v>
      </c>
      <c r="C531" s="37" t="s">
        <v>613</v>
      </c>
      <c r="D531" s="37" t="s">
        <v>593</v>
      </c>
      <c r="E531" s="40" t="s">
        <v>614</v>
      </c>
      <c r="F531" s="40" t="s">
        <v>615</v>
      </c>
      <c r="G531" s="40" t="s">
        <v>616</v>
      </c>
      <c r="H531" s="41">
        <v>15406000000</v>
      </c>
      <c r="I531" s="42">
        <v>4.51</v>
      </c>
      <c r="J531" s="43">
        <v>45504</v>
      </c>
      <c r="K531" s="43">
        <v>47118</v>
      </c>
      <c r="L531" s="34" t="s">
        <v>617</v>
      </c>
    </row>
    <row r="532" spans="1:12" ht="17.399999999999999" x14ac:dyDescent="0.4">
      <c r="A532" s="37">
        <f t="shared" si="10"/>
        <v>151</v>
      </c>
      <c r="B532" s="38" t="s">
        <v>618</v>
      </c>
      <c r="C532" s="37"/>
      <c r="D532" s="37" t="s">
        <v>619</v>
      </c>
      <c r="E532" s="39"/>
      <c r="F532" s="40" t="s">
        <v>620</v>
      </c>
      <c r="G532" s="40" t="s">
        <v>621</v>
      </c>
      <c r="H532" s="41">
        <v>9411500000000</v>
      </c>
      <c r="I532" s="42">
        <v>17.59</v>
      </c>
      <c r="J532" s="43">
        <v>45505</v>
      </c>
      <c r="K532" s="43">
        <v>47118</v>
      </c>
      <c r="L532" s="34" t="s">
        <v>622</v>
      </c>
    </row>
    <row r="533" spans="1:12" ht="26.4" x14ac:dyDescent="0.4">
      <c r="A533" s="37">
        <f t="shared" si="10"/>
        <v>152</v>
      </c>
      <c r="B533" s="38" t="s">
        <v>857</v>
      </c>
      <c r="C533" s="37"/>
      <c r="D533" s="37" t="s">
        <v>858</v>
      </c>
      <c r="E533" s="39"/>
      <c r="F533" s="39" t="s">
        <v>859</v>
      </c>
      <c r="G533" s="40" t="s">
        <v>860</v>
      </c>
      <c r="H533" s="41">
        <v>1027500000000</v>
      </c>
      <c r="I533" s="42">
        <v>13.2</v>
      </c>
      <c r="J533" s="43">
        <v>45406</v>
      </c>
      <c r="K533" s="43">
        <v>47118</v>
      </c>
      <c r="L533" s="34" t="s">
        <v>861</v>
      </c>
    </row>
    <row r="534" spans="1:12" ht="17.399999999999999" x14ac:dyDescent="0.4">
      <c r="A534" s="37">
        <f t="shared" si="10"/>
        <v>153</v>
      </c>
      <c r="B534" s="38" t="s">
        <v>692</v>
      </c>
      <c r="C534" s="37"/>
      <c r="D534" s="37" t="s">
        <v>1300</v>
      </c>
      <c r="E534" s="40"/>
      <c r="F534" s="40" t="s">
        <v>696</v>
      </c>
      <c r="G534" s="40" t="s">
        <v>1373</v>
      </c>
      <c r="H534" s="46">
        <v>55500000000</v>
      </c>
      <c r="I534" s="42">
        <v>107.53</v>
      </c>
      <c r="J534" s="43">
        <v>45106</v>
      </c>
      <c r="K534" s="43">
        <v>47118</v>
      </c>
      <c r="L534" s="57" t="s">
        <v>1374</v>
      </c>
    </row>
    <row r="535" spans="1:12" ht="17.399999999999999" x14ac:dyDescent="0.4">
      <c r="A535" s="37">
        <f t="shared" si="10"/>
        <v>154</v>
      </c>
      <c r="B535" s="38" t="s">
        <v>580</v>
      </c>
      <c r="C535" s="37"/>
      <c r="D535" s="37" t="s">
        <v>581</v>
      </c>
      <c r="E535" s="39"/>
      <c r="F535" s="40" t="s">
        <v>582</v>
      </c>
      <c r="G535" s="40" t="s">
        <v>583</v>
      </c>
      <c r="H535" s="41">
        <v>48870000000</v>
      </c>
      <c r="I535" s="42">
        <v>12.9</v>
      </c>
      <c r="J535" s="43">
        <v>45646</v>
      </c>
      <c r="K535" s="43">
        <v>47483</v>
      </c>
      <c r="L535" s="34" t="s">
        <v>584</v>
      </c>
    </row>
    <row r="536" spans="1:12" ht="26.4" x14ac:dyDescent="0.4">
      <c r="A536" s="37">
        <f t="shared" si="10"/>
        <v>155</v>
      </c>
      <c r="B536" s="38" t="s">
        <v>2438</v>
      </c>
      <c r="C536" s="37"/>
      <c r="D536" s="37" t="s">
        <v>2435</v>
      </c>
      <c r="E536" s="39"/>
      <c r="F536" s="39" t="s">
        <v>2439</v>
      </c>
      <c r="G536" s="40" t="s">
        <v>2440</v>
      </c>
      <c r="H536" s="41">
        <v>424900000000</v>
      </c>
      <c r="I536" s="42">
        <v>7.4</v>
      </c>
      <c r="J536" s="43">
        <v>44268</v>
      </c>
      <c r="K536" s="43">
        <v>47483</v>
      </c>
      <c r="L536" s="57" t="s">
        <v>2441</v>
      </c>
    </row>
    <row r="537" spans="1:12" ht="26.4" x14ac:dyDescent="0.4">
      <c r="A537" s="37">
        <f t="shared" si="10"/>
        <v>156</v>
      </c>
      <c r="B537" s="38" t="s">
        <v>973</v>
      </c>
      <c r="C537" s="37"/>
      <c r="D537" s="37" t="s">
        <v>1176</v>
      </c>
      <c r="E537" s="40"/>
      <c r="F537" s="39" t="s">
        <v>1177</v>
      </c>
      <c r="G537" s="40" t="s">
        <v>1178</v>
      </c>
      <c r="H537" s="41">
        <v>4094764400000</v>
      </c>
      <c r="I537" s="42">
        <v>44.07</v>
      </c>
      <c r="J537" s="43">
        <v>45231</v>
      </c>
      <c r="K537" s="43">
        <v>47848</v>
      </c>
      <c r="L537" s="66" t="s">
        <v>1179</v>
      </c>
    </row>
    <row r="538" spans="1:12" ht="17.399999999999999" x14ac:dyDescent="0.4">
      <c r="A538" s="37">
        <f t="shared" si="10"/>
        <v>157</v>
      </c>
      <c r="B538" s="38" t="s">
        <v>723</v>
      </c>
      <c r="C538" s="37"/>
      <c r="D538" s="37" t="s">
        <v>2461</v>
      </c>
      <c r="E538" s="39"/>
      <c r="F538" s="39" t="s">
        <v>2462</v>
      </c>
      <c r="G538" s="39" t="s">
        <v>2463</v>
      </c>
      <c r="H538" s="41">
        <v>243311718000</v>
      </c>
      <c r="I538" s="42">
        <v>15.28</v>
      </c>
      <c r="J538" s="43">
        <v>44743</v>
      </c>
      <c r="K538" s="43">
        <v>48396</v>
      </c>
      <c r="L538" s="74" t="s">
        <v>2464</v>
      </c>
    </row>
    <row r="539" spans="1:12" ht="26.4" x14ac:dyDescent="0.4">
      <c r="A539" s="37">
        <f t="shared" si="10"/>
        <v>158</v>
      </c>
      <c r="B539" s="38" t="s">
        <v>914</v>
      </c>
      <c r="C539" s="37"/>
      <c r="D539" s="37" t="s">
        <v>910</v>
      </c>
      <c r="E539" s="40"/>
      <c r="F539" s="40" t="s">
        <v>915</v>
      </c>
      <c r="G539" s="40" t="s">
        <v>916</v>
      </c>
      <c r="H539" s="46">
        <v>18466015800000</v>
      </c>
      <c r="I539" s="42">
        <v>188.14</v>
      </c>
      <c r="J539" s="43">
        <v>45372</v>
      </c>
      <c r="K539" s="43">
        <v>48579</v>
      </c>
      <c r="L539" s="34" t="s">
        <v>917</v>
      </c>
    </row>
    <row r="540" spans="1:12" ht="17.399999999999999" x14ac:dyDescent="0.4">
      <c r="A540" s="37">
        <f t="shared" si="10"/>
        <v>159</v>
      </c>
      <c r="B540" s="38" t="s">
        <v>723</v>
      </c>
      <c r="C540" s="37"/>
      <c r="D540" s="37" t="s">
        <v>1908</v>
      </c>
      <c r="E540" s="40"/>
      <c r="F540" s="39" t="s">
        <v>1909</v>
      </c>
      <c r="G540" s="40" t="s">
        <v>1910</v>
      </c>
      <c r="H540" s="41">
        <v>524940080000</v>
      </c>
      <c r="I540" s="42">
        <v>5.07</v>
      </c>
      <c r="J540" s="43">
        <v>44732</v>
      </c>
      <c r="K540" s="43">
        <v>50770</v>
      </c>
      <c r="L540" s="70" t="s">
        <v>1911</v>
      </c>
    </row>
    <row r="541" spans="1:12" ht="26.4" x14ac:dyDescent="0.4">
      <c r="A541" s="37">
        <f t="shared" si="10"/>
        <v>160</v>
      </c>
      <c r="B541" s="38" t="s">
        <v>1189</v>
      </c>
      <c r="C541" s="37"/>
      <c r="D541" s="37" t="s">
        <v>1190</v>
      </c>
      <c r="E541" s="40"/>
      <c r="F541" s="39" t="s">
        <v>1191</v>
      </c>
      <c r="G541" s="40" t="s">
        <v>1192</v>
      </c>
      <c r="H541" s="41">
        <v>2492215574520</v>
      </c>
      <c r="I541" s="42">
        <v>36.200000000000003</v>
      </c>
      <c r="J541" s="43">
        <v>45225</v>
      </c>
      <c r="K541" s="43">
        <v>53965</v>
      </c>
      <c r="L541" s="66" t="s">
        <v>1193</v>
      </c>
    </row>
    <row r="542" spans="1:12" ht="17.399999999999999" x14ac:dyDescent="0.4">
      <c r="A542" s="37">
        <f t="shared" si="10"/>
        <v>161</v>
      </c>
      <c r="B542" s="38" t="s">
        <v>627</v>
      </c>
      <c r="C542" s="37"/>
      <c r="D542" s="37" t="s">
        <v>628</v>
      </c>
      <c r="E542" s="39"/>
      <c r="F542" s="40" t="s">
        <v>629</v>
      </c>
      <c r="G542" s="40" t="s">
        <v>630</v>
      </c>
      <c r="H542" s="41">
        <v>195862000000</v>
      </c>
      <c r="I542" s="42">
        <v>9.4</v>
      </c>
      <c r="J542" s="43" t="s">
        <v>631</v>
      </c>
      <c r="K542" s="43" t="s">
        <v>632</v>
      </c>
      <c r="L542" s="34" t="s">
        <v>633</v>
      </c>
    </row>
    <row r="543" spans="1:12" ht="17.399999999999999" x14ac:dyDescent="0.4">
      <c r="A543" s="37">
        <f t="shared" si="10"/>
        <v>162</v>
      </c>
      <c r="B543" s="38" t="s">
        <v>1074</v>
      </c>
      <c r="C543" s="37"/>
      <c r="D543" s="37" t="s">
        <v>934</v>
      </c>
      <c r="E543" s="40"/>
      <c r="F543" s="39" t="s">
        <v>1075</v>
      </c>
      <c r="G543" s="40" t="s">
        <v>1076</v>
      </c>
      <c r="H543" s="41">
        <v>116300000000</v>
      </c>
      <c r="I543" s="42">
        <v>4.9000000000000004</v>
      </c>
      <c r="J543" s="43">
        <v>45292</v>
      </c>
      <c r="K543" s="43" t="s">
        <v>1077</v>
      </c>
      <c r="L543" s="34" t="s">
        <v>1078</v>
      </c>
    </row>
  </sheetData>
  <autoFilter ref="A5:L543" xr:uid="{00000000-0009-0000-0000-000007000000}">
    <sortState xmlns:xlrd2="http://schemas.microsoft.com/office/spreadsheetml/2017/richdata2" ref="A7:L543">
      <sortCondition ref="K5:K543"/>
    </sortState>
  </autoFilter>
  <mergeCells count="10">
    <mergeCell ref="H4:H5"/>
    <mergeCell ref="I4:I5"/>
    <mergeCell ref="J4:K4"/>
    <mergeCell ref="L4:L5"/>
    <mergeCell ref="A4:A5"/>
    <mergeCell ref="B4:B5"/>
    <mergeCell ref="C4:D4"/>
    <mergeCell ref="E4:E5"/>
    <mergeCell ref="F4:F5"/>
    <mergeCell ref="G4:G5"/>
  </mergeCells>
  <phoneticPr fontId="3" type="noConversion"/>
  <hyperlinks>
    <hyperlink ref="L433" r:id="rId1" xr:uid="{00000000-0004-0000-0700-000000000000}"/>
    <hyperlink ref="L398" r:id="rId2" xr:uid="{00000000-0004-0000-0700-000001000000}"/>
    <hyperlink ref="L462" r:id="rId3" xr:uid="{00000000-0004-0000-0700-000002000000}"/>
    <hyperlink ref="L260" r:id="rId4" xr:uid="{00000000-0004-0000-0700-000003000000}"/>
    <hyperlink ref="L399" r:id="rId5" xr:uid="{00000000-0004-0000-0700-000004000000}"/>
    <hyperlink ref="L483" r:id="rId6" xr:uid="{00000000-0004-0000-0700-000005000000}"/>
    <hyperlink ref="L484" r:id="rId7" xr:uid="{00000000-0004-0000-0700-000006000000}"/>
    <hyperlink ref="L258" r:id="rId8" xr:uid="{00000000-0004-0000-0700-000007000000}"/>
    <hyperlink ref="L248" r:id="rId9" xr:uid="{00000000-0004-0000-0700-000008000000}"/>
    <hyperlink ref="L400" r:id="rId10" xr:uid="{00000000-0004-0000-0700-000009000000}"/>
    <hyperlink ref="L335" r:id="rId11" xr:uid="{00000000-0004-0000-0700-00000A000000}"/>
    <hyperlink ref="L264" r:id="rId12" xr:uid="{00000000-0004-0000-0700-00000B000000}"/>
    <hyperlink ref="L342" r:id="rId13" xr:uid="{00000000-0004-0000-0700-00000C000000}"/>
    <hyperlink ref="L470" r:id="rId14" xr:uid="{00000000-0004-0000-0700-00000D000000}"/>
    <hyperlink ref="L360" r:id="rId15" xr:uid="{00000000-0004-0000-0700-00000E000000}"/>
    <hyperlink ref="L453" r:id="rId16" xr:uid="{00000000-0004-0000-0700-00000F000000}"/>
    <hyperlink ref="L401" r:id="rId17" xr:uid="{00000000-0004-0000-0700-000010000000}"/>
    <hyperlink ref="L249" r:id="rId18" xr:uid="{00000000-0004-0000-0700-000011000000}"/>
    <hyperlink ref="L304" r:id="rId19" xr:uid="{00000000-0004-0000-0700-000012000000}"/>
    <hyperlink ref="L276" r:id="rId20" xr:uid="{00000000-0004-0000-0700-000013000000}"/>
    <hyperlink ref="L361" r:id="rId21" xr:uid="{00000000-0004-0000-0700-000014000000}"/>
    <hyperlink ref="L265" r:id="rId22" xr:uid="{00000000-0004-0000-0700-000015000000}"/>
    <hyperlink ref="L500" r:id="rId23" xr:uid="{00000000-0004-0000-0700-000016000000}"/>
    <hyperlink ref="L534" r:id="rId24" xr:uid="{00000000-0004-0000-0700-000017000000}"/>
    <hyperlink ref="L425" r:id="rId25" xr:uid="{00000000-0004-0000-0700-000018000000}"/>
    <hyperlink ref="L485" r:id="rId26" xr:uid="{00000000-0004-0000-0700-000019000000}"/>
    <hyperlink ref="L531" r:id="rId27" xr:uid="{00000000-0004-0000-0700-00001A000000}"/>
    <hyperlink ref="L486" r:id="rId28" xr:uid="{00000000-0004-0000-0700-00001B000000}"/>
    <hyperlink ref="L314" r:id="rId29" xr:uid="{00000000-0004-0000-0700-00001C000000}"/>
    <hyperlink ref="L402" r:id="rId30" xr:uid="{00000000-0004-0000-0700-00001D000000}"/>
    <hyperlink ref="L246" r:id="rId31" xr:uid="{00000000-0004-0000-0700-00001E000000}"/>
    <hyperlink ref="L266" r:id="rId32" xr:uid="{00000000-0004-0000-0700-00001F000000}"/>
    <hyperlink ref="L374" r:id="rId33" xr:uid="{00000000-0004-0000-0700-000020000000}"/>
    <hyperlink ref="L247" r:id="rId34" xr:uid="{00000000-0004-0000-0700-000021000000}"/>
    <hyperlink ref="L327" r:id="rId35" xr:uid="{00000000-0004-0000-0700-000022000000}"/>
    <hyperlink ref="L474" r:id="rId36" xr:uid="{00000000-0004-0000-0700-000023000000}"/>
    <hyperlink ref="L441" r:id="rId37" xr:uid="{00000000-0004-0000-0700-000024000000}"/>
    <hyperlink ref="L367" r:id="rId38" xr:uid="{00000000-0004-0000-0700-000025000000}"/>
    <hyperlink ref="L426" r:id="rId39" xr:uid="{00000000-0004-0000-0700-000026000000}"/>
    <hyperlink ref="L319" r:id="rId40" xr:uid="{00000000-0004-0000-0700-000027000000}"/>
    <hyperlink ref="L289" r:id="rId41" xr:uid="{00000000-0004-0000-0700-000028000000}"/>
    <hyperlink ref="L278" r:id="rId42" xr:uid="{00000000-0004-0000-0700-000029000000}"/>
    <hyperlink ref="L286" r:id="rId43" xr:uid="{00000000-0004-0000-0700-00002A000000}"/>
    <hyperlink ref="L362" r:id="rId44" xr:uid="{00000000-0004-0000-0700-00002B000000}"/>
    <hyperlink ref="L373" r:id="rId45" xr:uid="{00000000-0004-0000-0700-00002C000000}"/>
    <hyperlink ref="L403" r:id="rId46" xr:uid="{00000000-0004-0000-0700-00002D000000}"/>
    <hyperlink ref="L242" r:id="rId47" xr:uid="{00000000-0004-0000-0700-00002E000000}"/>
    <hyperlink ref="L320" r:id="rId48" xr:uid="{00000000-0004-0000-0700-00002F000000}"/>
    <hyperlink ref="L352" r:id="rId49" xr:uid="{00000000-0004-0000-0700-000030000000}"/>
    <hyperlink ref="L460" r:id="rId50" xr:uid="{00000000-0004-0000-0700-000031000000}"/>
    <hyperlink ref="L389" r:id="rId51" xr:uid="{00000000-0004-0000-0700-000032000000}"/>
    <hyperlink ref="L324" r:id="rId52" xr:uid="{00000000-0004-0000-0700-000033000000}"/>
    <hyperlink ref="L333" r:id="rId53" xr:uid="{00000000-0004-0000-0700-000034000000}"/>
    <hyperlink ref="L275" r:id="rId54" xr:uid="{00000000-0004-0000-0700-000035000000}"/>
    <hyperlink ref="L502" r:id="rId55" xr:uid="{00000000-0004-0000-0700-000036000000}"/>
    <hyperlink ref="L241" r:id="rId56" xr:uid="{00000000-0004-0000-0700-000037000000}"/>
    <hyperlink ref="L250" r:id="rId57" xr:uid="{00000000-0004-0000-0700-000038000000}"/>
    <hyperlink ref="L291" r:id="rId58" xr:uid="{00000000-0004-0000-0700-000039000000}"/>
    <hyperlink ref="L267" r:id="rId59" xr:uid="{00000000-0004-0000-0700-00003A000000}"/>
    <hyperlink ref="L268" r:id="rId60" xr:uid="{00000000-0004-0000-0700-00003B000000}"/>
    <hyperlink ref="L459" r:id="rId61" xr:uid="{00000000-0004-0000-0700-00003C000000}"/>
    <hyperlink ref="L355" r:id="rId62" xr:uid="{00000000-0004-0000-0700-00003D000000}"/>
    <hyperlink ref="L284" r:id="rId63" xr:uid="{00000000-0004-0000-0700-00003E000000}"/>
    <hyperlink ref="L379" r:id="rId64" xr:uid="{00000000-0004-0000-0700-00003F000000}"/>
    <hyperlink ref="L519" r:id="rId65" xr:uid="{00000000-0004-0000-0700-000040000000}"/>
    <hyperlink ref="L231" r:id="rId66" xr:uid="{00000000-0004-0000-0700-000041000000}"/>
    <hyperlink ref="L235" r:id="rId67" xr:uid="{00000000-0004-0000-0700-000042000000}"/>
    <hyperlink ref="L243" r:id="rId68" xr:uid="{00000000-0004-0000-0700-000043000000}"/>
    <hyperlink ref="L244" r:id="rId69" xr:uid="{00000000-0004-0000-0700-000044000000}"/>
    <hyperlink ref="L263" r:id="rId70" xr:uid="{00000000-0004-0000-0700-000045000000}"/>
    <hyperlink ref="L269" r:id="rId71" xr:uid="{00000000-0004-0000-0700-000046000000}"/>
    <hyperlink ref="L330" r:id="rId72" xr:uid="{00000000-0004-0000-0700-000047000000}"/>
    <hyperlink ref="L312" r:id="rId73" xr:uid="{00000000-0004-0000-0700-000048000000}"/>
    <hyperlink ref="L302" r:id="rId74" xr:uid="{00000000-0004-0000-0700-000049000000}"/>
    <hyperlink ref="L363" r:id="rId75" xr:uid="{00000000-0004-0000-0700-00004A000000}"/>
    <hyperlink ref="L442" r:id="rId76" xr:uid="{00000000-0004-0000-0700-00004B000000}"/>
    <hyperlink ref="L528" r:id="rId77" xr:uid="{00000000-0004-0000-0700-00004C000000}"/>
    <hyperlink ref="L514" r:id="rId78" xr:uid="{00000000-0004-0000-0700-00004D000000}"/>
    <hyperlink ref="L279" r:id="rId79" xr:uid="{00000000-0004-0000-0700-00004E000000}"/>
    <hyperlink ref="L230" r:id="rId80" xr:uid="{00000000-0004-0000-0700-00004F000000}"/>
    <hyperlink ref="L413" r:id="rId81" xr:uid="{00000000-0004-0000-0700-000050000000}"/>
    <hyperlink ref="L292" r:id="rId82" xr:uid="{00000000-0004-0000-0700-000051000000}"/>
    <hyperlink ref="L354" r:id="rId83" xr:uid="{00000000-0004-0000-0700-000052000000}"/>
    <hyperlink ref="L293" r:id="rId84" xr:uid="{00000000-0004-0000-0700-000053000000}"/>
    <hyperlink ref="L306" r:id="rId85" xr:uid="{00000000-0004-0000-0700-000054000000}"/>
    <hyperlink ref="L350" r:id="rId86" xr:uid="{00000000-0004-0000-0700-000055000000}"/>
    <hyperlink ref="L313" r:id="rId87" xr:uid="{00000000-0004-0000-0700-000056000000}"/>
    <hyperlink ref="L337" r:id="rId88" xr:uid="{00000000-0004-0000-0700-000057000000}"/>
    <hyperlink ref="L349" r:id="rId89" xr:uid="{00000000-0004-0000-0700-000058000000}"/>
    <hyperlink ref="L404" r:id="rId90" xr:uid="{00000000-0004-0000-0700-000059000000}"/>
    <hyperlink ref="L499" r:id="rId91" xr:uid="{00000000-0004-0000-0700-00005A000000}"/>
    <hyperlink ref="L259" r:id="rId92" xr:uid="{00000000-0004-0000-0700-00005B000000}"/>
    <hyperlink ref="L487" r:id="rId93" xr:uid="{00000000-0004-0000-0700-00005C000000}"/>
    <hyperlink ref="L270" r:id="rId94" xr:uid="{00000000-0004-0000-0700-00005D000000}"/>
    <hyperlink ref="L219" r:id="rId95" xr:uid="{00000000-0004-0000-0700-00005E000000}"/>
    <hyperlink ref="L405" r:id="rId96" xr:uid="{00000000-0004-0000-0700-00005F000000}"/>
    <hyperlink ref="L471" r:id="rId97" xr:uid="{00000000-0004-0000-0700-000060000000}"/>
    <hyperlink ref="L424" r:id="rId98" xr:uid="{00000000-0004-0000-0700-000061000000}"/>
    <hyperlink ref="L202" r:id="rId99" xr:uid="{00000000-0004-0000-0700-000062000000}"/>
    <hyperlink ref="L224" r:id="rId100" xr:uid="{00000000-0004-0000-0700-000063000000}"/>
    <hyperlink ref="L236" r:id="rId101" xr:uid="{00000000-0004-0000-0700-000064000000}"/>
    <hyperlink ref="L225" r:id="rId102" xr:uid="{00000000-0004-0000-0700-000065000000}"/>
    <hyperlink ref="L251" r:id="rId103" xr:uid="{00000000-0004-0000-0700-000066000000}"/>
    <hyperlink ref="L392" r:id="rId104" xr:uid="{00000000-0004-0000-0700-000067000000}"/>
    <hyperlink ref="L220" r:id="rId105" xr:uid="{00000000-0004-0000-0700-000068000000}"/>
    <hyperlink ref="L353" r:id="rId106" xr:uid="{00000000-0004-0000-0700-000069000000}"/>
    <hyperlink ref="L294" r:id="rId107" xr:uid="{00000000-0004-0000-0700-00006A000000}"/>
    <hyperlink ref="L226" r:id="rId108" xr:uid="{00000000-0004-0000-0700-00006B000000}"/>
    <hyperlink ref="L252" r:id="rId109" xr:uid="{00000000-0004-0000-0700-00006C000000}"/>
    <hyperlink ref="L496" r:id="rId110" xr:uid="{00000000-0004-0000-0700-00006D000000}"/>
    <hyperlink ref="L488" r:id="rId111" xr:uid="{00000000-0004-0000-0700-00006E000000}"/>
    <hyperlink ref="L369" r:id="rId112" xr:uid="{00000000-0004-0000-0700-00006F000000}"/>
    <hyperlink ref="L388" r:id="rId113" xr:uid="{00000000-0004-0000-0700-000070000000}"/>
    <hyperlink ref="L336" r:id="rId114" xr:uid="{00000000-0004-0000-0700-000071000000}"/>
    <hyperlink ref="L245" r:id="rId115" xr:uid="{00000000-0004-0000-0700-000072000000}"/>
    <hyperlink ref="L191" r:id="rId116" xr:uid="{00000000-0004-0000-0700-000073000000}"/>
    <hyperlink ref="L443" r:id="rId117" xr:uid="{00000000-0004-0000-0700-000074000000}"/>
    <hyperlink ref="L227" r:id="rId118" xr:uid="{00000000-0004-0000-0700-000075000000}"/>
    <hyperlink ref="L253" r:id="rId119" xr:uid="{00000000-0004-0000-0700-000076000000}"/>
    <hyperlink ref="L254" r:id="rId120" xr:uid="{00000000-0004-0000-0700-000077000000}"/>
    <hyperlink ref="L444" r:id="rId121" xr:uid="{00000000-0004-0000-0700-000078000000}"/>
    <hyperlink ref="L503" r:id="rId122" xr:uid="{00000000-0004-0000-0700-000079000000}"/>
    <hyperlink ref="L417" r:id="rId123" xr:uid="{00000000-0004-0000-0700-00007A000000}"/>
    <hyperlink ref="L305" r:id="rId124" xr:uid="{00000000-0004-0000-0700-00007B000000}"/>
    <hyperlink ref="L271" r:id="rId125" xr:uid="{00000000-0004-0000-0700-00007C000000}"/>
    <hyperlink ref="L321" r:id="rId126" xr:uid="{00000000-0004-0000-0700-00007D000000}"/>
    <hyperlink ref="L308" r:id="rId127" xr:uid="{00000000-0004-0000-0700-00007E000000}"/>
    <hyperlink ref="L180" r:id="rId128" xr:uid="{00000000-0004-0000-0700-00007F000000}"/>
    <hyperlink ref="L204" r:id="rId129" xr:uid="{00000000-0004-0000-0700-000080000000}"/>
    <hyperlink ref="L303" r:id="rId130" xr:uid="{00000000-0004-0000-0700-000081000000}"/>
    <hyperlink ref="L190" r:id="rId131" xr:uid="{00000000-0004-0000-0700-000082000000}"/>
    <hyperlink ref="L380" r:id="rId132" xr:uid="{00000000-0004-0000-0700-000083000000}"/>
    <hyperlink ref="L406" r:id="rId133" xr:uid="{00000000-0004-0000-0700-000084000000}"/>
    <hyperlink ref="L178" r:id="rId134" xr:uid="{00000000-0004-0000-0700-000085000000}"/>
    <hyperlink ref="L272" r:id="rId135" xr:uid="{00000000-0004-0000-0700-000086000000}"/>
    <hyperlink ref="L489" r:id="rId136" xr:uid="{00000000-0004-0000-0700-000087000000}"/>
    <hyperlink ref="L171" r:id="rId137" xr:uid="{00000000-0004-0000-0700-000088000000}"/>
    <hyperlink ref="L203" r:id="rId138" xr:uid="{00000000-0004-0000-0700-000089000000}"/>
    <hyperlink ref="L181" r:id="rId139" xr:uid="{00000000-0004-0000-0700-00008A000000}"/>
    <hyperlink ref="L370" r:id="rId140" xr:uid="{00000000-0004-0000-0700-00008B000000}"/>
    <hyperlink ref="L438" r:id="rId141" xr:uid="{00000000-0004-0000-0700-00008C000000}"/>
    <hyperlink ref="L317" r:id="rId142" xr:uid="{00000000-0004-0000-0700-00008D000000}"/>
    <hyperlink ref="L384" r:id="rId143" xr:uid="{00000000-0004-0000-0700-00008E000000}"/>
    <hyperlink ref="L164" r:id="rId144" xr:uid="{00000000-0004-0000-0700-00008F000000}"/>
    <hyperlink ref="L172" r:id="rId145" xr:uid="{00000000-0004-0000-0700-000090000000}"/>
    <hyperlink ref="L182" r:id="rId146" xr:uid="{00000000-0004-0000-0700-000091000000}"/>
    <hyperlink ref="L173" r:id="rId147" xr:uid="{00000000-0004-0000-0700-000092000000}"/>
    <hyperlink ref="L192" r:id="rId148" xr:uid="{00000000-0004-0000-0700-000093000000}"/>
    <hyperlink ref="L344" r:id="rId149" xr:uid="{00000000-0004-0000-0700-000094000000}"/>
    <hyperlink ref="L375" r:id="rId150" xr:uid="{00000000-0004-0000-0700-000095000000}"/>
    <hyperlink ref="L277" r:id="rId151" xr:uid="{00000000-0004-0000-0700-000096000000}"/>
    <hyperlink ref="L351" r:id="rId152" xr:uid="{00000000-0004-0000-0700-000097000000}"/>
    <hyperlink ref="L505" r:id="rId153" xr:uid="{00000000-0004-0000-0700-000098000000}"/>
    <hyperlink ref="L127" r:id="rId154" xr:uid="{00000000-0004-0000-0700-000099000000}"/>
    <hyperlink ref="L205" r:id="rId155" xr:uid="{00000000-0004-0000-0700-00009A000000}"/>
    <hyperlink ref="L407" r:id="rId156" xr:uid="{00000000-0004-0000-0700-00009B000000}"/>
    <hyperlink ref="L218" r:id="rId157" xr:uid="{00000000-0004-0000-0700-00009C000000}"/>
    <hyperlink ref="L200" r:id="rId158" xr:uid="{00000000-0004-0000-0700-00009D000000}"/>
    <hyperlink ref="L237" r:id="rId159" xr:uid="{00000000-0004-0000-0700-00009E000000}"/>
    <hyperlink ref="L328" r:id="rId160" xr:uid="{00000000-0004-0000-0700-00009F000000}"/>
    <hyperlink ref="L466" r:id="rId161" xr:uid="{00000000-0004-0000-0700-0000A0000000}"/>
    <hyperlink ref="L309" r:id="rId162" xr:uid="{00000000-0004-0000-0700-0000A1000000}"/>
    <hyperlink ref="L228" r:id="rId163" xr:uid="{00000000-0004-0000-0700-0000A2000000}"/>
    <hyperlink ref="L285" r:id="rId164" xr:uid="{00000000-0004-0000-0700-0000A3000000}"/>
    <hyperlink ref="L183" r:id="rId165" xr:uid="{00000000-0004-0000-0700-0000A4000000}"/>
    <hyperlink ref="L193" r:id="rId166" xr:uid="{00000000-0004-0000-0700-0000A5000000}"/>
    <hyperlink ref="L201" r:id="rId167" xr:uid="{00000000-0004-0000-0700-0000A6000000}"/>
    <hyperlink ref="L295" r:id="rId168" xr:uid="{00000000-0004-0000-0700-0000A7000000}"/>
    <hyperlink ref="L365" r:id="rId169" xr:uid="{00000000-0004-0000-0700-0000A8000000}"/>
    <hyperlink ref="L147" r:id="rId170" xr:uid="{00000000-0004-0000-0700-0000A9000000}"/>
    <hyperlink ref="L148" r:id="rId171" xr:uid="{00000000-0004-0000-0700-0000AA000000}"/>
    <hyperlink ref="L160" r:id="rId172" xr:uid="{00000000-0004-0000-0700-0000AB000000}"/>
    <hyperlink ref="L323" r:id="rId173" xr:uid="{00000000-0004-0000-0700-0000AC000000}"/>
    <hyperlink ref="L179" r:id="rId174" xr:uid="{00000000-0004-0000-0700-0000AD000000}"/>
    <hyperlink ref="L326" r:id="rId175" xr:uid="{00000000-0004-0000-0700-0000AE000000}"/>
    <hyperlink ref="L423" r:id="rId176" xr:uid="{00000000-0004-0000-0700-0000AF000000}"/>
    <hyperlink ref="L540" r:id="rId177" xr:uid="{00000000-0004-0000-0700-0000B0000000}"/>
    <hyperlink ref="L280" r:id="rId178" xr:uid="{00000000-0004-0000-0700-0000B1000000}"/>
    <hyperlink ref="L455" r:id="rId179" xr:uid="{00000000-0004-0000-0700-0000B2000000}"/>
    <hyperlink ref="L146" r:id="rId180" xr:uid="{00000000-0004-0000-0700-0000B3000000}"/>
    <hyperlink ref="L255" r:id="rId181" xr:uid="{00000000-0004-0000-0700-0000B4000000}"/>
    <hyperlink ref="L158" r:id="rId182" xr:uid="{00000000-0004-0000-0700-0000B5000000}"/>
    <hyperlink ref="L165" r:id="rId183" xr:uid="{00000000-0004-0000-0700-0000B6000000}"/>
    <hyperlink ref="L338" r:id="rId184" xr:uid="{00000000-0004-0000-0700-0000B7000000}"/>
    <hyperlink ref="L366" r:id="rId185" xr:uid="{00000000-0004-0000-0700-0000B8000000}"/>
    <hyperlink ref="L385" r:id="rId186" xr:uid="{00000000-0004-0000-0700-0000B9000000}"/>
    <hyperlink ref="L161" r:id="rId187" xr:uid="{00000000-0004-0000-0700-0000BA000000}"/>
    <hyperlink ref="L329" r:id="rId188" xr:uid="{00000000-0004-0000-0700-0000BB000000}"/>
    <hyperlink ref="L510" r:id="rId189" xr:uid="{00000000-0004-0000-0700-0000BC000000}"/>
    <hyperlink ref="L408" r:id="rId190" xr:uid="{00000000-0004-0000-0700-0000BD000000}"/>
    <hyperlink ref="L297" r:id="rId191" xr:uid="{00000000-0004-0000-0700-0000BE000000}"/>
    <hyperlink ref="L139" r:id="rId192" xr:uid="{00000000-0004-0000-0700-0000BF000000}"/>
    <hyperlink ref="L256" r:id="rId193" xr:uid="{00000000-0004-0000-0700-0000C0000000}"/>
    <hyperlink ref="L206" r:id="rId194" xr:uid="{00000000-0004-0000-0700-0000C1000000}"/>
    <hyperlink ref="L340" r:id="rId195" xr:uid="{00000000-0004-0000-0700-0000C2000000}"/>
    <hyperlink ref="L409" r:id="rId196" xr:uid="{00000000-0004-0000-0700-0000C3000000}"/>
    <hyperlink ref="L232" r:id="rId197" xr:uid="{00000000-0004-0000-0700-0000C4000000}"/>
    <hyperlink ref="L446" r:id="rId198" xr:uid="{00000000-0004-0000-0700-0000C5000000}"/>
    <hyperlink ref="L307" r:id="rId199" xr:uid="{00000000-0004-0000-0700-0000C6000000}"/>
    <hyperlink ref="L207" r:id="rId200" xr:uid="{00000000-0004-0000-0700-0000C7000000}"/>
    <hyperlink ref="L138" r:id="rId201" xr:uid="{00000000-0004-0000-0700-0000C8000000}"/>
    <hyperlink ref="L140" r:id="rId202" xr:uid="{00000000-0004-0000-0700-0000C9000000}"/>
    <hyperlink ref="L141" r:id="rId203" xr:uid="{00000000-0004-0000-0700-0000CA000000}"/>
    <hyperlink ref="L142" r:id="rId204" xr:uid="{00000000-0004-0000-0700-0000CB000000}"/>
    <hyperlink ref="L149" r:id="rId205" xr:uid="{00000000-0004-0000-0700-0000CC000000}"/>
    <hyperlink ref="L134" r:id="rId206" xr:uid="{00000000-0004-0000-0700-0000CD000000}"/>
    <hyperlink ref="L287" r:id="rId207" xr:uid="{00000000-0004-0000-0700-0000CE000000}"/>
    <hyperlink ref="L150" r:id="rId208" xr:uid="{00000000-0004-0000-0700-0000CF000000}"/>
    <hyperlink ref="L418" r:id="rId209" xr:uid="{00000000-0004-0000-0700-0000D0000000}"/>
    <hyperlink ref="L233" r:id="rId210" xr:uid="{00000000-0004-0000-0700-0000D1000000}"/>
    <hyperlink ref="L125" r:id="rId211" xr:uid="{00000000-0004-0000-0700-0000D2000000}"/>
    <hyperlink ref="L223" r:id="rId212" xr:uid="{00000000-0004-0000-0700-0000D3000000}"/>
    <hyperlink ref="L322" r:id="rId213" xr:uid="{00000000-0004-0000-0700-0000D4000000}"/>
    <hyperlink ref="L135" r:id="rId214" xr:uid="{00000000-0004-0000-0700-0000D5000000}"/>
    <hyperlink ref="L346" r:id="rId215" xr:uid="{00000000-0004-0000-0700-0000D6000000}"/>
    <hyperlink ref="L128" r:id="rId216" xr:uid="{00000000-0004-0000-0700-0000D7000000}"/>
    <hyperlink ref="L208" r:id="rId217" xr:uid="{00000000-0004-0000-0700-0000D8000000}"/>
    <hyperlink ref="L386" r:id="rId218" xr:uid="{00000000-0004-0000-0700-0000D9000000}"/>
    <hyperlink ref="L174" r:id="rId219" xr:uid="{00000000-0004-0000-0700-0000DA000000}"/>
    <hyperlink ref="L136" r:id="rId220" xr:uid="{00000000-0004-0000-0700-0000DB000000}"/>
    <hyperlink ref="L238" r:id="rId221" xr:uid="{00000000-0004-0000-0700-0000DC000000}"/>
    <hyperlink ref="L387" r:id="rId222" xr:uid="{00000000-0004-0000-0700-0000DD000000}"/>
    <hyperlink ref="L209" r:id="rId223" xr:uid="{00000000-0004-0000-0700-0000DE000000}"/>
    <hyperlink ref="L166" r:id="rId224" xr:uid="{00000000-0004-0000-0700-0000DF000000}"/>
    <hyperlink ref="L110" r:id="rId225" xr:uid="{00000000-0004-0000-0700-0000E0000000}"/>
    <hyperlink ref="L111" r:id="rId226" xr:uid="{00000000-0004-0000-0700-0000E1000000}"/>
    <hyperlink ref="L129" r:id="rId227" xr:uid="{00000000-0004-0000-0700-0000E2000000}"/>
    <hyperlink ref="L137" r:id="rId228" xr:uid="{00000000-0004-0000-0700-0000E3000000}"/>
    <hyperlink ref="L130" r:id="rId229" xr:uid="{00000000-0004-0000-0700-0000E4000000}"/>
    <hyperlink ref="L58" r:id="rId230" xr:uid="{00000000-0004-0000-0700-0000E5000000}"/>
    <hyperlink ref="L428" r:id="rId231" xr:uid="{00000000-0004-0000-0700-0000E6000000}"/>
    <hyperlink ref="L109" r:id="rId232" xr:uid="{00000000-0004-0000-0700-0000E7000000}"/>
    <hyperlink ref="L439" r:id="rId233" xr:uid="{00000000-0004-0000-0700-0000E8000000}"/>
    <hyperlink ref="L210" r:id="rId234" xr:uid="{00000000-0004-0000-0700-0000E9000000}"/>
    <hyperlink ref="L273" r:id="rId235" xr:uid="{00000000-0004-0000-0700-0000EA000000}"/>
    <hyperlink ref="L288" r:id="rId236" xr:uid="{00000000-0004-0000-0700-0000EB000000}"/>
    <hyperlink ref="L151" r:id="rId237" xr:uid="{00000000-0004-0000-0700-0000EC000000}"/>
    <hyperlink ref="L162" r:id="rId238" xr:uid="{00000000-0004-0000-0700-0000ED000000}"/>
    <hyperlink ref="L490" r:id="rId239" xr:uid="{00000000-0004-0000-0700-0000EE000000}"/>
    <hyperlink ref="L211" r:id="rId240" xr:uid="{00000000-0004-0000-0700-0000EF000000}"/>
    <hyperlink ref="L281" r:id="rId241" xr:uid="{00000000-0004-0000-0700-0000F0000000}"/>
    <hyperlink ref="L420" r:id="rId242" xr:uid="{00000000-0004-0000-0700-0000F1000000}"/>
    <hyperlink ref="L473" r:id="rId243" xr:uid="{00000000-0004-0000-0700-0000F2000000}"/>
    <hyperlink ref="L339" r:id="rId244" xr:uid="{00000000-0004-0000-0700-0000F3000000}"/>
    <hyperlink ref="L527" r:id="rId245" xr:uid="{00000000-0004-0000-0700-0000F4000000}"/>
    <hyperlink ref="L106" r:id="rId246" xr:uid="{00000000-0004-0000-0700-0000F5000000}"/>
    <hyperlink ref="L108" r:id="rId247" xr:uid="{00000000-0004-0000-0700-0000F6000000}"/>
    <hyperlink ref="L112" r:id="rId248" xr:uid="{00000000-0004-0000-0700-0000F7000000}"/>
    <hyperlink ref="L212" r:id="rId249" xr:uid="{00000000-0004-0000-0700-0000F8000000}"/>
    <hyperlink ref="L175" r:id="rId250" xr:uid="{00000000-0004-0000-0700-0000F9000000}"/>
    <hyperlink ref="L221" r:id="rId251" xr:uid="{00000000-0004-0000-0700-0000FA000000}"/>
    <hyperlink ref="L107" r:id="rId252" xr:uid="{00000000-0004-0000-0700-0000FB000000}"/>
    <hyperlink ref="L298" r:id="rId253" xr:uid="{00000000-0004-0000-0700-0000FC000000}"/>
    <hyperlink ref="L143" r:id="rId254" xr:uid="{00000000-0004-0000-0700-0000FD000000}"/>
    <hyperlink ref="L176" r:id="rId255" xr:uid="{00000000-0004-0000-0700-0000FE000000}"/>
    <hyperlink ref="L194" r:id="rId256" xr:uid="{00000000-0004-0000-0700-0000FF000000}"/>
    <hyperlink ref="L334" r:id="rId257" xr:uid="{00000000-0004-0000-0700-000000010000}"/>
    <hyperlink ref="L152" r:id="rId258" xr:uid="{00000000-0004-0000-0700-000001010000}"/>
    <hyperlink ref="L102" r:id="rId259" xr:uid="{00000000-0004-0000-0700-000002010000}"/>
    <hyperlink ref="L177" r:id="rId260" xr:uid="{00000000-0004-0000-0700-000003010000}"/>
    <hyperlink ref="L195" r:id="rId261" xr:uid="{00000000-0004-0000-0700-000004010000}"/>
    <hyperlink ref="L184" r:id="rId262" xr:uid="{00000000-0004-0000-0700-000005010000}"/>
    <hyperlink ref="L113" r:id="rId263" xr:uid="{00000000-0004-0000-0700-000006010000}"/>
    <hyperlink ref="L196" r:id="rId264" xr:uid="{00000000-0004-0000-0700-000007010000}"/>
    <hyperlink ref="L315" r:id="rId265" xr:uid="{00000000-0004-0000-0700-000008010000}"/>
    <hyperlink ref="L88" r:id="rId266" xr:uid="{00000000-0004-0000-0700-000009010000}"/>
    <hyperlink ref="L89" r:id="rId267" xr:uid="{00000000-0004-0000-0700-00000A010000}"/>
    <hyperlink ref="L94" r:id="rId268" xr:uid="{00000000-0004-0000-0700-00000B010000}"/>
    <hyperlink ref="L103" r:id="rId269" xr:uid="{00000000-0004-0000-0700-00000C010000}"/>
    <hyperlink ref="L257" r:id="rId270" xr:uid="{00000000-0004-0000-0700-00000D010000}"/>
    <hyperlink ref="L491" r:id="rId271" xr:uid="{00000000-0004-0000-0700-00000E010000}"/>
    <hyperlink ref="L67" r:id="rId272" xr:uid="{00000000-0004-0000-0700-00000F010000}"/>
    <hyperlink ref="L101" r:id="rId273" xr:uid="{00000000-0004-0000-0700-000010010000}"/>
    <hyperlink ref="L114" r:id="rId274" xr:uid="{00000000-0004-0000-0700-000011010000}"/>
    <hyperlink ref="L95" r:id="rId275" xr:uid="{00000000-0004-0000-0700-000012010000}"/>
    <hyperlink ref="L299" r:id="rId276" xr:uid="{00000000-0004-0000-0700-000013010000}"/>
    <hyperlink ref="L316" r:id="rId277" xr:uid="{00000000-0004-0000-0700-000014010000}"/>
    <hyperlink ref="L185" r:id="rId278" xr:uid="{00000000-0004-0000-0700-000015010000}"/>
    <hyperlink ref="L410" r:id="rId279" xr:uid="{00000000-0004-0000-0700-000016010000}"/>
    <hyperlink ref="L213" r:id="rId280" xr:uid="{00000000-0004-0000-0700-000017010000}"/>
    <hyperlink ref="L82" r:id="rId281" xr:uid="{00000000-0004-0000-0700-000018010000}"/>
    <hyperlink ref="L153" r:id="rId282" xr:uid="{00000000-0004-0000-0700-000019010000}"/>
    <hyperlink ref="L73" r:id="rId283" xr:uid="{00000000-0004-0000-0700-00001A010000}"/>
    <hyperlink ref="L74" r:id="rId284" xr:uid="{00000000-0004-0000-0700-00001B010000}"/>
    <hyperlink ref="L115" r:id="rId285" xr:uid="{00000000-0004-0000-0700-00001C010000}"/>
    <hyperlink ref="L381" r:id="rId286" xr:uid="{00000000-0004-0000-0700-00001D010000}"/>
    <hyperlink ref="L96" r:id="rId287" xr:uid="{00000000-0004-0000-0700-00001E010000}"/>
    <hyperlink ref="L105" r:id="rId288" xr:uid="{00000000-0004-0000-0700-00001F010000}"/>
    <hyperlink ref="L290" r:id="rId289" xr:uid="{00000000-0004-0000-0700-000020010000}"/>
    <hyperlink ref="L283" r:id="rId290" xr:uid="{00000000-0004-0000-0700-000021010000}"/>
    <hyperlink ref="L131" r:id="rId291" xr:uid="{00000000-0004-0000-0700-000022010000}"/>
    <hyperlink ref="L72" r:id="rId292" xr:uid="{00000000-0004-0000-0700-000023010000}"/>
    <hyperlink ref="L154" r:id="rId293" xr:uid="{00000000-0004-0000-0700-000024010000}"/>
    <hyperlink ref="L75" r:id="rId294" xr:uid="{00000000-0004-0000-0700-000025010000}"/>
    <hyperlink ref="L445" r:id="rId295" xr:uid="{00000000-0004-0000-0700-000026010000}"/>
    <hyperlink ref="L222" r:id="rId296" xr:uid="{00000000-0004-0000-0700-000027010000}"/>
    <hyperlink ref="L504" r:id="rId297" xr:uid="{00000000-0004-0000-0700-000028010000}"/>
    <hyperlink ref="L132" r:id="rId298" xr:uid="{00000000-0004-0000-0700-000029010000}"/>
    <hyperlink ref="L214" r:id="rId299" xr:uid="{00000000-0004-0000-0700-00002A010000}"/>
    <hyperlink ref="L229" r:id="rId300" xr:uid="{00000000-0004-0000-0700-00002B010000}"/>
    <hyperlink ref="L300" r:id="rId301" xr:uid="{00000000-0004-0000-0700-00002C010000}"/>
    <hyperlink ref="L97" r:id="rId302" xr:uid="{00000000-0004-0000-0700-00002D010000}"/>
    <hyperlink ref="L301" r:id="rId303" xr:uid="{00000000-0004-0000-0700-00002E010000}"/>
    <hyperlink ref="L155" r:id="rId304" xr:uid="{00000000-0004-0000-0700-00002F010000}"/>
    <hyperlink ref="L124" r:id="rId305" xr:uid="{00000000-0004-0000-0700-000030010000}"/>
    <hyperlink ref="L186" r:id="rId306" xr:uid="{00000000-0004-0000-0700-000031010000}"/>
    <hyperlink ref="L61" r:id="rId307" xr:uid="{00000000-0004-0000-0700-000032010000}"/>
    <hyperlink ref="L62" r:id="rId308" xr:uid="{00000000-0004-0000-0700-000033010000}"/>
    <hyperlink ref="L76" r:id="rId309" xr:uid="{00000000-0004-0000-0700-000034010000}"/>
    <hyperlink ref="L69" r:id="rId310" xr:uid="{00000000-0004-0000-0700-000035010000}"/>
    <hyperlink ref="L57" r:id="rId311" xr:uid="{00000000-0004-0000-0700-000036010000}"/>
    <hyperlink ref="L536" r:id="rId312" xr:uid="{00000000-0004-0000-0700-000037010000}"/>
    <hyperlink ref="L170" r:id="rId313" xr:uid="{00000000-0004-0000-0700-000038010000}"/>
    <hyperlink ref="L116" r:id="rId314" xr:uid="{00000000-0004-0000-0700-000039010000}"/>
    <hyperlink ref="L85" r:id="rId315" xr:uid="{00000000-0004-0000-0700-00003A010000}"/>
    <hyperlink ref="L84" r:id="rId316" xr:uid="{00000000-0004-0000-0700-00003B010000}"/>
    <hyperlink ref="L98" r:id="rId317" xr:uid="{00000000-0004-0000-0700-00003C010000}"/>
    <hyperlink ref="L99" r:id="rId318" xr:uid="{00000000-0004-0000-0700-00003D010000}"/>
    <hyperlink ref="L538" r:id="rId319" xr:uid="{00000000-0004-0000-0700-00003E010000}"/>
    <hyperlink ref="L104" r:id="rId320" xr:uid="{00000000-0004-0000-0700-00003F010000}"/>
    <hyperlink ref="L77" r:id="rId321" xr:uid="{00000000-0004-0000-0700-000040010000}"/>
    <hyperlink ref="L86" r:id="rId322" xr:uid="{00000000-0004-0000-0700-000041010000}"/>
    <hyperlink ref="L163" r:id="rId323" xr:uid="{00000000-0004-0000-0700-000042010000}"/>
    <hyperlink ref="L234" r:id="rId324" xr:uid="{00000000-0004-0000-0700-000043010000}"/>
    <hyperlink ref="L51" r:id="rId325" xr:uid="{00000000-0004-0000-0700-000044010000}"/>
    <hyperlink ref="L167" r:id="rId326" xr:uid="{00000000-0004-0000-0700-000045010000}"/>
    <hyperlink ref="L53" r:id="rId327" xr:uid="{00000000-0004-0000-0700-000046010000}"/>
    <hyperlink ref="L117" r:id="rId328" xr:uid="{00000000-0004-0000-0700-000047010000}"/>
    <hyperlink ref="L156" r:id="rId329" xr:uid="{00000000-0004-0000-0700-000048010000}"/>
    <hyperlink ref="L516" r:id="rId330" xr:uid="{00000000-0004-0000-0700-000049010000}"/>
    <hyperlink ref="L44" r:id="rId331" xr:uid="{00000000-0004-0000-0700-00004A010000}"/>
    <hyperlink ref="L91" r:id="rId332" xr:uid="{00000000-0004-0000-0700-00004B010000}"/>
    <hyperlink ref="L100" r:id="rId333" xr:uid="{00000000-0004-0000-0700-00004C010000}"/>
    <hyperlink ref="L239" r:id="rId334" xr:uid="{00000000-0004-0000-0700-00004D010000}"/>
    <hyperlink ref="L371" r:id="rId335" xr:uid="{00000000-0004-0000-0700-00004E010000}"/>
    <hyperlink ref="L52" r:id="rId336" xr:uid="{00000000-0004-0000-0700-00004F010000}"/>
    <hyperlink ref="L42" r:id="rId337" xr:uid="{00000000-0004-0000-0700-000050010000}"/>
    <hyperlink ref="L133" r:id="rId338" xr:uid="{00000000-0004-0000-0700-000051010000}"/>
    <hyperlink ref="L282" r:id="rId339" xr:uid="{00000000-0004-0000-0700-000052010000}"/>
    <hyperlink ref="L40" r:id="rId340" xr:uid="{00000000-0004-0000-0700-000053010000}"/>
    <hyperlink ref="L122" r:id="rId341" xr:uid="{00000000-0004-0000-0700-000054010000}"/>
    <hyperlink ref="L215" r:id="rId342" xr:uid="{00000000-0004-0000-0700-000055010000}"/>
    <hyperlink ref="L68" r:id="rId343" xr:uid="{00000000-0004-0000-0700-000056010000}"/>
    <hyperlink ref="L187" r:id="rId344" xr:uid="{00000000-0004-0000-0700-000057010000}"/>
    <hyperlink ref="L144" r:id="rId345" xr:uid="{00000000-0004-0000-0700-000058010000}"/>
    <hyperlink ref="L55" r:id="rId346" xr:uid="{00000000-0004-0000-0700-000059010000}"/>
    <hyperlink ref="L168" r:id="rId347" xr:uid="{00000000-0004-0000-0700-00005A010000}"/>
    <hyperlink ref="L92" r:id="rId348" xr:uid="{00000000-0004-0000-0700-00005B010000}"/>
    <hyperlink ref="L78" r:id="rId349" xr:uid="{00000000-0004-0000-0700-00005C010000}"/>
    <hyperlink ref="L216" r:id="rId350" xr:uid="{00000000-0004-0000-0700-00005D010000}"/>
    <hyperlink ref="L169" r:id="rId351" xr:uid="{00000000-0004-0000-0700-00005E010000}"/>
    <hyperlink ref="L118" r:id="rId352" xr:uid="{00000000-0004-0000-0700-00005F010000}"/>
    <hyperlink ref="L33" r:id="rId353" xr:uid="{00000000-0004-0000-0700-000060010000}"/>
    <hyperlink ref="L188" r:id="rId354" xr:uid="{00000000-0004-0000-0700-000061010000}"/>
    <hyperlink ref="L54" r:id="rId355" xr:uid="{00000000-0004-0000-0700-000062010000}"/>
    <hyperlink ref="L79" r:id="rId356" xr:uid="{00000000-0004-0000-0700-000063010000}"/>
    <hyperlink ref="L70" r:id="rId357" xr:uid="{00000000-0004-0000-0700-000064010000}"/>
    <hyperlink ref="L32" r:id="rId358" xr:uid="{00000000-0004-0000-0700-000065010000}"/>
    <hyperlink ref="L37" r:id="rId359" xr:uid="{00000000-0004-0000-0700-000066010000}"/>
    <hyperlink ref="L59" r:id="rId360" xr:uid="{00000000-0004-0000-0700-000067010000}"/>
    <hyperlink ref="L83" r:id="rId361" xr:uid="{00000000-0004-0000-0700-000068010000}"/>
    <hyperlink ref="L197" r:id="rId362" xr:uid="{00000000-0004-0000-0700-000069010000}"/>
    <hyperlink ref="L34" r:id="rId363" xr:uid="{00000000-0004-0000-0700-00006A010000}"/>
    <hyperlink ref="L35" r:id="rId364" xr:uid="{00000000-0004-0000-0700-00006B010000}"/>
    <hyperlink ref="L126" r:id="rId365" xr:uid="{00000000-0004-0000-0700-00006C010000}"/>
    <hyperlink ref="L492" r:id="rId366" xr:uid="{00000000-0004-0000-0700-00006D010000}"/>
    <hyperlink ref="L80" r:id="rId367" xr:uid="{00000000-0004-0000-0700-00006E010000}"/>
    <hyperlink ref="L30" r:id="rId368" xr:uid="{00000000-0004-0000-0700-00006F010000}"/>
    <hyperlink ref="L41" r:id="rId369" xr:uid="{00000000-0004-0000-0700-000070010000}"/>
    <hyperlink ref="L81" r:id="rId370" xr:uid="{00000000-0004-0000-0700-000071010000}"/>
    <hyperlink ref="L31" r:id="rId371" xr:uid="{00000000-0004-0000-0700-000072010000}"/>
    <hyperlink ref="L43" r:id="rId372" xr:uid="{00000000-0004-0000-0700-000073010000}"/>
    <hyperlink ref="L26" r:id="rId373" xr:uid="{00000000-0004-0000-0700-000074010000}"/>
    <hyperlink ref="L45" r:id="rId374" xr:uid="{00000000-0004-0000-0700-000075010000}"/>
    <hyperlink ref="L145" r:id="rId375" xr:uid="{00000000-0004-0000-0700-000076010000}"/>
    <hyperlink ref="L23" r:id="rId376" xr:uid="{00000000-0004-0000-0700-000077010000}"/>
    <hyperlink ref="L119" r:id="rId377" xr:uid="{00000000-0004-0000-0700-000078010000}"/>
    <hyperlink ref="L66" r:id="rId378" xr:uid="{00000000-0004-0000-0700-000079010000}"/>
    <hyperlink ref="L20" r:id="rId379" xr:uid="{00000000-0004-0000-0700-00007A010000}"/>
    <hyperlink ref="L27" r:id="rId380" xr:uid="{00000000-0004-0000-0700-00007B010000}"/>
    <hyperlink ref="L157" r:id="rId381" xr:uid="{00000000-0004-0000-0700-00007C010000}"/>
    <hyperlink ref="L18" r:id="rId382" xr:uid="{00000000-0004-0000-0700-00007D010000}"/>
    <hyperlink ref="L198" r:id="rId383" xr:uid="{00000000-0004-0000-0700-00007E010000}"/>
    <hyperlink ref="L36" r:id="rId384" xr:uid="{00000000-0004-0000-0700-00007F010000}"/>
    <hyperlink ref="L19" r:id="rId385" xr:uid="{00000000-0004-0000-0700-000080010000}"/>
    <hyperlink ref="L63" r:id="rId386" xr:uid="{00000000-0004-0000-0700-000081010000}"/>
    <hyperlink ref="L120" r:id="rId387" xr:uid="{00000000-0004-0000-0700-000082010000}"/>
    <hyperlink ref="L21" r:id="rId388" xr:uid="{00000000-0004-0000-0700-000083010000}"/>
    <hyperlink ref="L22" r:id="rId389" xr:uid="{00000000-0004-0000-0700-000084010000}"/>
    <hyperlink ref="L28" r:id="rId390" xr:uid="{00000000-0004-0000-0700-000085010000}"/>
    <hyperlink ref="L87" r:id="rId391" xr:uid="{00000000-0004-0000-0700-000086010000}"/>
    <hyperlink ref="L217" r:id="rId392" xr:uid="{00000000-0004-0000-0700-000087010000}"/>
    <hyperlink ref="L93" r:id="rId393" xr:uid="{00000000-0004-0000-0700-000088010000}"/>
    <hyperlink ref="L46" r:id="rId394" xr:uid="{00000000-0004-0000-0700-000089010000}"/>
    <hyperlink ref="L38" r:id="rId395" xr:uid="{00000000-0004-0000-0700-00008A010000}"/>
    <hyperlink ref="L123" r:id="rId396" xr:uid="{00000000-0004-0000-0700-00008B010000}"/>
    <hyperlink ref="L14" r:id="rId397" xr:uid="{00000000-0004-0000-0700-00008C010000}"/>
    <hyperlink ref="L9" r:id="rId398" xr:uid="{00000000-0004-0000-0700-00008D010000}"/>
    <hyperlink ref="L13" r:id="rId399" xr:uid="{00000000-0004-0000-0700-00008E010000}"/>
    <hyperlink ref="L29" r:id="rId400" xr:uid="{00000000-0004-0000-0700-00008F010000}"/>
    <hyperlink ref="L15" r:id="rId401" xr:uid="{00000000-0004-0000-0700-000090010000}"/>
    <hyperlink ref="L159" r:id="rId402" xr:uid="{00000000-0004-0000-0700-000091010000}"/>
    <hyperlink ref="L64" r:id="rId403" xr:uid="{00000000-0004-0000-0700-000092010000}"/>
    <hyperlink ref="L25" r:id="rId404" xr:uid="{00000000-0004-0000-0700-000093010000}"/>
    <hyperlink ref="L10" r:id="rId405" xr:uid="{00000000-0004-0000-0700-000094010000}"/>
    <hyperlink ref="L8" r:id="rId406" xr:uid="{00000000-0004-0000-0700-000095010000}"/>
    <hyperlink ref="L47" r:id="rId407" xr:uid="{00000000-0004-0000-0700-000096010000}"/>
    <hyperlink ref="L48" r:id="rId408" xr:uid="{00000000-0004-0000-0700-000097010000}"/>
    <hyperlink ref="L16" r:id="rId409" xr:uid="{00000000-0004-0000-0700-000098010000}"/>
    <hyperlink ref="L189" r:id="rId410" xr:uid="{00000000-0004-0000-0700-000099010000}"/>
    <hyperlink ref="L24" r:id="rId411" xr:uid="{00000000-0004-0000-0700-00009A010000}"/>
    <hyperlink ref="L17" r:id="rId412" xr:uid="{00000000-0004-0000-0700-00009B010000}"/>
    <hyperlink ref="L39" r:id="rId413" xr:uid="{00000000-0004-0000-0700-00009C010000}"/>
    <hyperlink ref="L49" r:id="rId414" xr:uid="{00000000-0004-0000-0700-00009D010000}"/>
    <hyperlink ref="L7" r:id="rId415" xr:uid="{00000000-0004-0000-0700-00009E010000}"/>
    <hyperlink ref="L60" r:id="rId416" xr:uid="{00000000-0004-0000-0700-00009F010000}"/>
    <hyperlink ref="L12" r:id="rId417" xr:uid="{00000000-0004-0000-0700-0000A0010000}"/>
    <hyperlink ref="L50" r:id="rId418" xr:uid="{00000000-0004-0000-0700-0000A1010000}"/>
    <hyperlink ref="L240" r:id="rId419" xr:uid="{00000000-0004-0000-0700-0000A2010000}"/>
    <hyperlink ref="L11" r:id="rId420" xr:uid="{00000000-0004-0000-0700-0000A3010000}"/>
    <hyperlink ref="L6" r:id="rId421" xr:uid="{00000000-0004-0000-0700-0000A4010000}"/>
    <hyperlink ref="L56" r:id="rId422" xr:uid="{00000000-0004-0000-0700-0000A5010000}"/>
    <hyperlink ref="L65" r:id="rId423" xr:uid="{00000000-0004-0000-0700-0000A6010000}"/>
    <hyperlink ref="L71" r:id="rId424" xr:uid="{00000000-0004-0000-0700-0000A7010000}"/>
    <hyperlink ref="L493" r:id="rId425" xr:uid="{00000000-0004-0000-0700-0000A8010000}"/>
    <hyperlink ref="L261" r:id="rId426" xr:uid="{00000000-0004-0000-0700-0000A9010000}"/>
    <hyperlink ref="L348" r:id="rId427" xr:uid="{00000000-0004-0000-0700-0000AA010000}"/>
    <hyperlink ref="L199" r:id="rId428" xr:uid="{00000000-0004-0000-0700-0000AB010000}"/>
    <hyperlink ref="L121" r:id="rId429" xr:uid="{00000000-0004-0000-0700-0000AC010000}"/>
    <hyperlink ref="L482" r:id="rId430" xr:uid="{00000000-0004-0000-0700-0000AD010000}"/>
    <hyperlink ref="L311" r:id="rId431" xr:uid="{00000000-0004-0000-0700-0000AE010000}"/>
    <hyperlink ref="L397" r:id="rId432" xr:uid="{00000000-0004-0000-0700-0000AF010000}"/>
    <hyperlink ref="L396" r:id="rId433" xr:uid="{00000000-0004-0000-0700-0000B0010000}"/>
    <hyperlink ref="L262" r:id="rId434" xr:uid="{00000000-0004-0000-0700-0000B1010000}"/>
    <hyperlink ref="L359" r:id="rId435" xr:uid="{00000000-0004-0000-0700-0000B2010000}"/>
    <hyperlink ref="L378" r:id="rId436" xr:uid="{00000000-0004-0000-0700-0000B3010000}"/>
    <hyperlink ref="L341" r:id="rId437" xr:uid="{00000000-0004-0000-0700-0000B4010000}"/>
    <hyperlink ref="L414" r:id="rId438" xr:uid="{00000000-0004-0000-0700-0000B5010000}"/>
    <hyperlink ref="L376" r:id="rId439" xr:uid="{00000000-0004-0000-0700-0000B6010000}"/>
    <hyperlink ref="L310" r:id="rId440" xr:uid="{00000000-0004-0000-0700-0000B7010000}"/>
    <hyperlink ref="L318" r:id="rId441" xr:uid="{00000000-0004-0000-0700-0000B8010000}"/>
    <hyperlink ref="L452" r:id="rId442" xr:uid="{00000000-0004-0000-0700-0000B9010000}"/>
    <hyperlink ref="L368" r:id="rId443" xr:uid="{00000000-0004-0000-0700-0000BA010000}"/>
    <hyperlink ref="L372" r:id="rId444" xr:uid="{00000000-0004-0000-0700-0000BB010000}"/>
    <hyperlink ref="L415" r:id="rId445" xr:uid="{00000000-0004-0000-0700-0000BC010000}"/>
    <hyperlink ref="L358" r:id="rId446" xr:uid="{00000000-0004-0000-0700-0000BD010000}"/>
    <hyperlink ref="L541" r:id="rId447" xr:uid="{00000000-0004-0000-0700-0000BE010000}"/>
    <hyperlink ref="L518" r:id="rId448" xr:uid="{00000000-0004-0000-0700-0000BF010000}"/>
    <hyperlink ref="L537" r:id="rId449" xr:uid="{00000000-0004-0000-0700-0000C0010000}"/>
    <hyperlink ref="L377" r:id="rId450" xr:uid="{00000000-0004-0000-0700-0000C1010000}"/>
    <hyperlink ref="L395" r:id="rId451" xr:uid="{00000000-0004-0000-0700-0000C2010000}"/>
    <hyperlink ref="L416" r:id="rId452" xr:uid="{00000000-0004-0000-0700-0000C3010000}"/>
    <hyperlink ref="L394" r:id="rId453" xr:uid="{00000000-0004-0000-0700-0000C4010000}"/>
    <hyperlink ref="L393" r:id="rId454" xr:uid="{00000000-0004-0000-0700-0000C5010000}"/>
    <hyperlink ref="L325" r:id="rId455" xr:uid="{00000000-0004-0000-0700-0000C6010000}"/>
    <hyperlink ref="L440" r:id="rId456" xr:uid="{00000000-0004-0000-0700-0000C7010000}"/>
    <hyperlink ref="L356" r:id="rId457" xr:uid="{00000000-0004-0000-0700-0000C8010000}"/>
    <hyperlink ref="L476" r:id="rId458" xr:uid="{00000000-0004-0000-0700-0000C9010000}"/>
    <hyperlink ref="L497" r:id="rId459" xr:uid="{00000000-0004-0000-0700-0000CA010000}"/>
    <hyperlink ref="L517" r:id="rId460" xr:uid="{00000000-0004-0000-0700-0000CB010000}"/>
    <hyperlink ref="L520" r:id="rId461" xr:uid="{00000000-0004-0000-0700-0000CC010000}"/>
    <hyperlink ref="L432" r:id="rId462" xr:uid="{00000000-0004-0000-0700-0000CD010000}"/>
    <hyperlink ref="L469" r:id="rId463" xr:uid="{00000000-0004-0000-0700-0000CE010000}"/>
    <hyperlink ref="L543" r:id="rId464" xr:uid="{00000000-0004-0000-0700-0000CF010000}"/>
    <hyperlink ref="L347" r:id="rId465" xr:uid="{00000000-0004-0000-0700-0000D0010000}"/>
    <hyperlink ref="L481" r:id="rId466" xr:uid="{00000000-0004-0000-0700-0000D1010000}"/>
    <hyperlink ref="L480" r:id="rId467" xr:uid="{00000000-0004-0000-0700-0000D2010000}"/>
    <hyperlink ref="L383" r:id="rId468" xr:uid="{00000000-0004-0000-0700-0000D3010000}"/>
    <hyperlink ref="L422" r:id="rId469" xr:uid="{00000000-0004-0000-0700-0000D4010000}"/>
    <hyperlink ref="L427" r:id="rId470" xr:uid="{00000000-0004-0000-0700-0000D5010000}"/>
    <hyperlink ref="L507" r:id="rId471" xr:uid="{00000000-0004-0000-0700-0000D6010000}"/>
    <hyperlink ref="L454" r:id="rId472" xr:uid="{00000000-0004-0000-0700-0000D7010000}"/>
    <hyperlink ref="L451" r:id="rId473" xr:uid="{00000000-0004-0000-0700-0000D8010000}"/>
    <hyperlink ref="L391" r:id="rId474" xr:uid="{00000000-0004-0000-0700-0000D9010000}"/>
    <hyperlink ref="L390" r:id="rId475" xr:uid="{00000000-0004-0000-0700-0000DA010000}"/>
    <hyperlink ref="L345" r:id="rId476" xr:uid="{00000000-0004-0000-0700-0000DB010000}"/>
    <hyperlink ref="L506" r:id="rId477" xr:uid="{00000000-0004-0000-0700-0000DC010000}"/>
    <hyperlink ref="L458" r:id="rId478" xr:uid="{00000000-0004-0000-0700-0000DD010000}"/>
    <hyperlink ref="L331" r:id="rId479" xr:uid="{00000000-0004-0000-0700-0000DE010000}"/>
    <hyperlink ref="L479" r:id="rId480" xr:uid="{00000000-0004-0000-0700-0000DF010000}"/>
    <hyperlink ref="L357" r:id="rId481" xr:uid="{00000000-0004-0000-0700-0000E0010000}"/>
    <hyperlink ref="L478" r:id="rId482" xr:uid="{00000000-0004-0000-0700-0000E1010000}"/>
    <hyperlink ref="L274" r:id="rId483" xr:uid="{00000000-0004-0000-0700-0000E2010000}"/>
    <hyperlink ref="L332" r:id="rId484" xr:uid="{00000000-0004-0000-0700-0000E3010000}"/>
    <hyperlink ref="L501" r:id="rId485" xr:uid="{00000000-0004-0000-0700-0000E4010000}"/>
    <hyperlink ref="L539" r:id="rId486" xr:uid="{00000000-0004-0000-0700-0000E5010000}"/>
    <hyperlink ref="L522" r:id="rId487" xr:uid="{00000000-0004-0000-0700-0000E6010000}"/>
    <hyperlink ref="L434" r:id="rId488" xr:uid="{00000000-0004-0000-0700-0000E7010000}"/>
    <hyperlink ref="L464" r:id="rId489" xr:uid="{00000000-0004-0000-0700-0000E8010000}"/>
    <hyperlink ref="L524" r:id="rId490" xr:uid="{00000000-0004-0000-0700-0000E9010000}"/>
    <hyperlink ref="L508" r:id="rId491" xr:uid="{00000000-0004-0000-0700-0000EA010000}"/>
    <hyperlink ref="L533" r:id="rId492" xr:uid="{00000000-0004-0000-0700-0000EB010000}"/>
    <hyperlink ref="L526" r:id="rId493" xr:uid="{00000000-0004-0000-0700-0000EC010000}"/>
    <hyperlink ref="L457" r:id="rId494" xr:uid="{00000000-0004-0000-0700-0000ED010000}"/>
    <hyperlink ref="L450" r:id="rId495" xr:uid="{00000000-0004-0000-0700-0000EE010000}"/>
    <hyperlink ref="L475" r:id="rId496" xr:uid="{00000000-0004-0000-0700-0000EF010000}"/>
    <hyperlink ref="L529" r:id="rId497" xr:uid="{00000000-0004-0000-0700-0000F0010000}"/>
    <hyperlink ref="L468" r:id="rId498" xr:uid="{00000000-0004-0000-0700-0000F1010000}"/>
    <hyperlink ref="L419" r:id="rId499" xr:uid="{00000000-0004-0000-0700-0000F2010000}"/>
    <hyperlink ref="L463" r:id="rId500" xr:uid="{00000000-0004-0000-0700-0000F3010000}"/>
    <hyperlink ref="L461" r:id="rId501" xr:uid="{00000000-0004-0000-0700-0000F4010000}"/>
    <hyperlink ref="L431" r:id="rId502" xr:uid="{00000000-0004-0000-0700-0000F5010000}"/>
    <hyperlink ref="L449" r:id="rId503" xr:uid="{00000000-0004-0000-0700-0000F6010000}"/>
    <hyperlink ref="L412" r:id="rId504" xr:uid="{00000000-0004-0000-0700-0000F7010000}"/>
    <hyperlink ref="L343" r:id="rId505" xr:uid="{00000000-0004-0000-0700-0000F8010000}"/>
    <hyperlink ref="L525" r:id="rId506" xr:uid="{00000000-0004-0000-0700-0000F9010000}"/>
    <hyperlink ref="L437" r:id="rId507" xr:uid="{00000000-0004-0000-0700-0000FA010000}"/>
    <hyperlink ref="L430" r:id="rId508" xr:uid="{00000000-0004-0000-0700-0000FB010000}"/>
    <hyperlink ref="L465" r:id="rId509" xr:uid="{00000000-0004-0000-0700-0000FC010000}"/>
    <hyperlink ref="L515" r:id="rId510" xr:uid="{00000000-0004-0000-0700-0000FD010000}"/>
    <hyperlink ref="L521" r:id="rId511" xr:uid="{00000000-0004-0000-0700-0000FE010000}"/>
    <hyperlink ref="L411" r:id="rId512" xr:uid="{00000000-0004-0000-0700-0000FF010000}"/>
    <hyperlink ref="L448" r:id="rId513" xr:uid="{00000000-0004-0000-0700-000000020000}"/>
    <hyperlink ref="L421" r:id="rId514" xr:uid="{00000000-0004-0000-0700-000001020000}"/>
    <hyperlink ref="L513" r:id="rId515" xr:uid="{00000000-0004-0000-0700-000002020000}"/>
    <hyperlink ref="L494" r:id="rId516" xr:uid="{00000000-0004-0000-0700-000003020000}"/>
    <hyperlink ref="L542" r:id="rId517" xr:uid="{00000000-0004-0000-0700-000004020000}"/>
    <hyperlink ref="L429" r:id="rId518" xr:uid="{00000000-0004-0000-0700-000005020000}"/>
    <hyperlink ref="L472" r:id="rId519" xr:uid="{00000000-0004-0000-0700-000006020000}"/>
    <hyperlink ref="L532" r:id="rId520" xr:uid="{00000000-0004-0000-0700-000007020000}"/>
    <hyperlink ref="L530" r:id="rId521" xr:uid="{00000000-0004-0000-0700-000008020000}"/>
    <hyperlink ref="L467" r:id="rId522" xr:uid="{00000000-0004-0000-0700-000009020000}"/>
    <hyperlink ref="L535" r:id="rId523" xr:uid="{00000000-0004-0000-0700-00000A020000}"/>
    <hyperlink ref="L456" r:id="rId524" xr:uid="{00000000-0004-0000-0700-00000B020000}"/>
    <hyperlink ref="L512" r:id="rId525" xr:uid="{00000000-0004-0000-0700-00000C020000}"/>
    <hyperlink ref="L511" r:id="rId526" xr:uid="{00000000-0004-0000-0700-00000D020000}"/>
    <hyperlink ref="L509" r:id="rId527" xr:uid="{00000000-0004-0000-0700-00000E020000}"/>
    <hyperlink ref="L523" r:id="rId528" xr:uid="{00000000-0004-0000-0700-00000F020000}"/>
    <hyperlink ref="L447" r:id="rId529" xr:uid="{00000000-0004-0000-0700-000010020000}"/>
    <hyperlink ref="L436" r:id="rId530" xr:uid="{00000000-0004-0000-0700-000011020000}"/>
    <hyperlink ref="L498" r:id="rId531" xr:uid="{00000000-0004-0000-0700-000012020000}"/>
    <hyperlink ref="L477" r:id="rId532" xr:uid="{00000000-0004-0000-0700-000013020000}"/>
    <hyperlink ref="L435" r:id="rId533" xr:uid="{00000000-0004-0000-0700-000014020000}"/>
    <hyperlink ref="L495" r:id="rId534" xr:uid="{00000000-0004-0000-0700-000015020000}"/>
    <hyperlink ref="L382" r:id="rId535" xr:uid="{00000000-0004-0000-0700-000016020000}"/>
  </hyperlinks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25년 말~26년</vt:lpstr>
      <vt:lpstr>투경관리</vt:lpstr>
      <vt:lpstr>수주잔고</vt:lpstr>
      <vt:lpstr>주요수주잔고</vt:lpstr>
      <vt:lpstr>계절성분석</vt:lpstr>
      <vt:lpstr>OECD.Stat export</vt:lpstr>
      <vt:lpstr>OECD YOY</vt:lpstr>
      <vt:lpstr>알아두면좋은주소들</vt:lpstr>
      <vt:lpstr>신규시설투자</vt:lpstr>
      <vt:lpstr>계절성분석!Print_Area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2024-10-23T12:21:34Z</dcterms:created>
  <dcterms:modified xsi:type="dcterms:W3CDTF">2026-05-30T03:51:07Z</dcterms:modified>
</cp:coreProperties>
</file>