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경영지원\(1) 김소현 (개인업무)\(2)주간보고서_매입,매출\"/>
    </mc:Choice>
  </mc:AlternateContent>
  <xr:revisionPtr revIDLastSave="0" documentId="13_ncr:1_{84E5A2C1-32CD-4F81-8BFD-9F814105CAB7}" xr6:coauthVersionLast="47" xr6:coauthVersionMax="47" xr10:uidLastSave="{00000000-0000-0000-0000-000000000000}"/>
  <bookViews>
    <workbookView xWindow="-120" yWindow="-120" windowWidth="29040" windowHeight="15840" firstSheet="12" activeTab="21" xr2:uid="{67BECD56-0B69-4F41-84F1-111DFF7C8571}"/>
  </bookViews>
  <sheets>
    <sheet name="2021년 입,출금 총현황" sheetId="8" r:id="rId1"/>
    <sheet name="3월19일" sheetId="1" r:id="rId2"/>
    <sheet name="3월26일" sheetId="2" r:id="rId3"/>
    <sheet name="4월2일 " sheetId="4" r:id="rId4"/>
    <sheet name="4월12일 " sheetId="5" r:id="rId5"/>
    <sheet name="4월19일" sheetId="6" r:id="rId6"/>
    <sheet name="4월26일" sheetId="7" r:id="rId7"/>
    <sheet name="5월3일" sheetId="9" r:id="rId8"/>
    <sheet name="5월10일" sheetId="10" r:id="rId9"/>
    <sheet name="5월17일" sheetId="11" r:id="rId10"/>
    <sheet name="5월24일" sheetId="12" r:id="rId11"/>
    <sheet name="5월31일" sheetId="13" r:id="rId12"/>
    <sheet name="6월4일" sheetId="14" r:id="rId13"/>
    <sheet name="6월11일" sheetId="15" r:id="rId14"/>
    <sheet name="6월18일" sheetId="16" r:id="rId15"/>
    <sheet name="6월25일 " sheetId="17" r:id="rId16"/>
    <sheet name="7월9일" sheetId="19" r:id="rId17"/>
    <sheet name="7월16일" sheetId="20" r:id="rId18"/>
    <sheet name="7월23일 " sheetId="21" r:id="rId19"/>
    <sheet name="7월30일" sheetId="22" r:id="rId20"/>
    <sheet name="8월6일" sheetId="23" r:id="rId21"/>
    <sheet name="8월13일" sheetId="24" r:id="rId22"/>
    <sheet name="Sheet1" sheetId="3" r:id="rId23"/>
  </sheets>
  <definedNames>
    <definedName name="_xlnm.Print_Area" localSheetId="1">'3월19일'!$A$1:$J$56</definedName>
    <definedName name="_xlnm.Print_Area" localSheetId="2">'3월26일'!$A$2:$J$86</definedName>
    <definedName name="_xlnm.Print_Area" localSheetId="4">'4월12일 '!$A$2:$K$69</definedName>
    <definedName name="_xlnm.Print_Area" localSheetId="5">'4월19일'!$A$2:$J$51</definedName>
    <definedName name="_xlnm.Print_Area" localSheetId="6">'4월26일'!$A$2:$K$98</definedName>
    <definedName name="_xlnm.Print_Area" localSheetId="3">'4월2일 '!$A$2:$K$98</definedName>
    <definedName name="_xlnm.Print_Area" localSheetId="8">'5월10일'!$A$2:$K$72</definedName>
    <definedName name="_xlnm.Print_Area" localSheetId="9">'5월17일'!$A$2:$K$76</definedName>
    <definedName name="_xlnm.Print_Area" localSheetId="10">'5월24일'!$A$2:$J$52</definedName>
    <definedName name="_xlnm.Print_Area" localSheetId="11">'5월31일'!$A$2:$J$74</definedName>
    <definedName name="_xlnm.Print_Area" localSheetId="7">'5월3일'!$A$2:$K$115</definedName>
    <definedName name="_xlnm.Print_Area" localSheetId="13">'6월11일'!$A$2:$K$102</definedName>
    <definedName name="_xlnm.Print_Area" localSheetId="14">'6월18일'!$A$2:$J$44</definedName>
    <definedName name="_xlnm.Print_Area" localSheetId="15">'6월25일 '!$A$2:$K$77</definedName>
    <definedName name="_xlnm.Print_Area" localSheetId="12">'6월4일'!$A$2:$K$117</definedName>
    <definedName name="_xlnm.Print_Area" localSheetId="17">'7월16일'!$A$2:$J$44</definedName>
    <definedName name="_xlnm.Print_Area" localSheetId="18">'7월23일 '!$A$2:$J$83</definedName>
    <definedName name="_xlnm.Print_Area" localSheetId="19">'7월30일'!$A$2:$J$108</definedName>
    <definedName name="_xlnm.Print_Area" localSheetId="16">'7월9일'!$A$2:$K$76</definedName>
    <definedName name="_xlnm.Print_Area" localSheetId="21">'8월13일'!$A$2:$J$82</definedName>
    <definedName name="_xlnm.Print_Area" localSheetId="20">'8월6일'!$A$2:$J$70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2" i="24" l="1"/>
  <c r="H61" i="24"/>
  <c r="C63" i="24" l="1"/>
  <c r="C57" i="24" l="1"/>
  <c r="C8" i="24" s="1"/>
  <c r="C80" i="24"/>
  <c r="C66" i="24"/>
  <c r="C82" i="24" s="1"/>
  <c r="X9" i="3"/>
  <c r="H47" i="24"/>
  <c r="H42" i="24"/>
  <c r="H39" i="24"/>
  <c r="I39" i="24" s="1"/>
  <c r="I38" i="24"/>
  <c r="I37" i="24"/>
  <c r="I36" i="24"/>
  <c r="I35" i="24"/>
  <c r="I34" i="24"/>
  <c r="I33" i="24"/>
  <c r="I32" i="24"/>
  <c r="I31" i="24"/>
  <c r="I30" i="24"/>
  <c r="I29" i="24"/>
  <c r="I28" i="24"/>
  <c r="I27" i="24"/>
  <c r="I26" i="24"/>
  <c r="I25" i="24"/>
  <c r="I24" i="24"/>
  <c r="I23" i="24"/>
  <c r="I22" i="24"/>
  <c r="H21" i="24"/>
  <c r="I20" i="24"/>
  <c r="I19" i="24"/>
  <c r="I17" i="24"/>
  <c r="H70" i="23"/>
  <c r="I70" i="23"/>
  <c r="I39" i="23"/>
  <c r="I38" i="23"/>
  <c r="I41" i="23"/>
  <c r="I43" i="23"/>
  <c r="I42" i="23"/>
  <c r="I21" i="24" l="1"/>
  <c r="H57" i="24"/>
  <c r="I57" i="24"/>
  <c r="F8" i="24" s="1"/>
  <c r="H8" i="24" s="1"/>
  <c r="I40" i="23"/>
  <c r="I36" i="23"/>
  <c r="I35" i="23"/>
  <c r="I34" i="23"/>
  <c r="I32" i="23"/>
  <c r="C45" i="23" l="1"/>
  <c r="C36" i="23"/>
  <c r="W2" i="3"/>
  <c r="W9" i="3" s="1"/>
  <c r="I37" i="23"/>
  <c r="I44" i="23"/>
  <c r="I45" i="23"/>
  <c r="I46" i="23"/>
  <c r="I47" i="23"/>
  <c r="I48" i="23"/>
  <c r="I49" i="23"/>
  <c r="I50" i="23"/>
  <c r="C22" i="23"/>
  <c r="H67" i="23"/>
  <c r="H59" i="23"/>
  <c r="H54" i="23"/>
  <c r="H51" i="23"/>
  <c r="H33" i="23"/>
  <c r="I33" i="23" s="1"/>
  <c r="I31" i="23"/>
  <c r="I29" i="23"/>
  <c r="C70" i="23" l="1"/>
  <c r="I51" i="23"/>
  <c r="H15" i="23"/>
  <c r="H22" i="23" s="1"/>
  <c r="F8" i="23" s="1"/>
  <c r="C77" i="22"/>
  <c r="C68" i="22"/>
  <c r="H101" i="22"/>
  <c r="H70" i="22"/>
  <c r="I70" i="22"/>
  <c r="C8" i="23" l="1"/>
  <c r="H80" i="22"/>
  <c r="I80" i="22" s="1"/>
  <c r="H92" i="22"/>
  <c r="H8" i="23" l="1"/>
  <c r="I65" i="22"/>
  <c r="I67" i="22"/>
  <c r="I68" i="22"/>
  <c r="H69" i="22"/>
  <c r="I69" i="22" s="1"/>
  <c r="I71" i="22"/>
  <c r="I72" i="22"/>
  <c r="I73" i="22"/>
  <c r="I74" i="22"/>
  <c r="I75" i="22"/>
  <c r="I76" i="22"/>
  <c r="I77" i="22"/>
  <c r="I78" i="22"/>
  <c r="I79" i="22"/>
  <c r="I81" i="22"/>
  <c r="I82" i="22"/>
  <c r="I83" i="22"/>
  <c r="I84" i="22"/>
  <c r="I85" i="22"/>
  <c r="I86" i="22"/>
  <c r="I87" i="22"/>
  <c r="I88" i="22"/>
  <c r="H89" i="22"/>
  <c r="I89" i="22"/>
  <c r="C108" i="22" l="1"/>
  <c r="H58" i="22"/>
  <c r="I108" i="22" s="1"/>
  <c r="H108" i="22" l="1"/>
  <c r="V4" i="3"/>
  <c r="C26" i="22"/>
  <c r="C27" i="22"/>
  <c r="V9" i="3"/>
  <c r="V2" i="3"/>
  <c r="H33" i="22"/>
  <c r="H51" i="22"/>
  <c r="H49" i="22"/>
  <c r="H48" i="22"/>
  <c r="H47" i="22"/>
  <c r="H46" i="22"/>
  <c r="H45" i="22"/>
  <c r="H44" i="22"/>
  <c r="H43" i="22"/>
  <c r="H42" i="22"/>
  <c r="H41" i="22"/>
  <c r="H39" i="22"/>
  <c r="H37" i="22"/>
  <c r="H36" i="22"/>
  <c r="H35" i="22"/>
  <c r="H32" i="22"/>
  <c r="H31" i="22"/>
  <c r="H27" i="22"/>
  <c r="H26" i="22"/>
  <c r="H25" i="22"/>
  <c r="H20" i="22"/>
  <c r="H19" i="22"/>
  <c r="C17" i="22"/>
  <c r="C15" i="22"/>
  <c r="H59" i="21"/>
  <c r="C53" i="22" l="1"/>
  <c r="C8" i="22" s="1"/>
  <c r="H53" i="22"/>
  <c r="C52" i="21"/>
  <c r="C49" i="21"/>
  <c r="H75" i="21"/>
  <c r="F8" i="22" l="1"/>
  <c r="H8" i="22" s="1"/>
  <c r="H81" i="21"/>
  <c r="H77" i="21"/>
  <c r="H63" i="21" l="1"/>
  <c r="H62" i="21"/>
  <c r="H74" i="21" l="1"/>
  <c r="H73" i="21"/>
  <c r="H72" i="21"/>
  <c r="H71" i="21"/>
  <c r="H70" i="21"/>
  <c r="H69" i="21"/>
  <c r="H68" i="21"/>
  <c r="H67" i="21"/>
  <c r="H66" i="21"/>
  <c r="H61" i="21"/>
  <c r="H58" i="21"/>
  <c r="H57" i="21"/>
  <c r="H53" i="21"/>
  <c r="H52" i="21"/>
  <c r="H51" i="21"/>
  <c r="H46" i="21"/>
  <c r="H45" i="21"/>
  <c r="U18" i="3"/>
  <c r="U17" i="3"/>
  <c r="H83" i="21" l="1"/>
  <c r="C41" i="21"/>
  <c r="C43" i="21"/>
  <c r="U9" i="3"/>
  <c r="C19" i="21"/>
  <c r="C83" i="21" l="1"/>
  <c r="H34" i="21"/>
  <c r="H35" i="21"/>
  <c r="H33" i="21"/>
  <c r="H32" i="21"/>
  <c r="H31" i="21"/>
  <c r="H29" i="21"/>
  <c r="H28" i="21"/>
  <c r="H27" i="21"/>
  <c r="H26" i="21"/>
  <c r="C14" i="21"/>
  <c r="C36" i="21" s="1"/>
  <c r="H21" i="21" l="1"/>
  <c r="H20" i="21"/>
  <c r="H19" i="21"/>
  <c r="H18" i="21"/>
  <c r="H17" i="21"/>
  <c r="C8" i="21"/>
  <c r="H44" i="20"/>
  <c r="H43" i="20"/>
  <c r="H42" i="20"/>
  <c r="H41" i="20"/>
  <c r="H40" i="20"/>
  <c r="C36" i="20"/>
  <c r="H31" i="20"/>
  <c r="H30" i="20"/>
  <c r="H29" i="20"/>
  <c r="H28" i="20"/>
  <c r="H27" i="20"/>
  <c r="H26" i="20"/>
  <c r="H39" i="20"/>
  <c r="H25" i="20"/>
  <c r="H16" i="20"/>
  <c r="T9" i="3"/>
  <c r="C44" i="20"/>
  <c r="C32" i="20"/>
  <c r="C8" i="20" s="1"/>
  <c r="H76" i="19"/>
  <c r="I64" i="19"/>
  <c r="H63" i="19"/>
  <c r="H62" i="19"/>
  <c r="H61" i="19"/>
  <c r="H60" i="19"/>
  <c r="H58" i="19"/>
  <c r="H59" i="19"/>
  <c r="H57" i="19"/>
  <c r="H56" i="19"/>
  <c r="H55" i="19"/>
  <c r="H54" i="19"/>
  <c r="H53" i="19"/>
  <c r="H52" i="19"/>
  <c r="H50" i="19"/>
  <c r="H49" i="19"/>
  <c r="H48" i="19"/>
  <c r="H75" i="19"/>
  <c r="H17" i="19"/>
  <c r="H18" i="19"/>
  <c r="S9" i="3"/>
  <c r="H47" i="19"/>
  <c r="H40" i="19"/>
  <c r="I40" i="19" s="1"/>
  <c r="I39" i="19"/>
  <c r="I38" i="19"/>
  <c r="I37" i="19"/>
  <c r="I36" i="19"/>
  <c r="I35" i="19"/>
  <c r="I34" i="19"/>
  <c r="I33" i="19"/>
  <c r="I32" i="19"/>
  <c r="I31" i="19"/>
  <c r="I30" i="19"/>
  <c r="I29" i="19"/>
  <c r="I28" i="19"/>
  <c r="I27" i="19"/>
  <c r="I26" i="19"/>
  <c r="H25" i="19"/>
  <c r="I25" i="19" s="1"/>
  <c r="I24" i="19"/>
  <c r="I23" i="19"/>
  <c r="I21" i="19"/>
  <c r="H15" i="19"/>
  <c r="H64" i="19" s="1"/>
  <c r="C76" i="19"/>
  <c r="C64" i="19"/>
  <c r="C8" i="19" s="1"/>
  <c r="H36" i="21" l="1"/>
  <c r="F8" i="21" s="1"/>
  <c r="H8" i="21" s="1"/>
  <c r="H32" i="20"/>
  <c r="F8" i="20" s="1"/>
  <c r="H8" i="20" s="1"/>
  <c r="F8" i="19"/>
  <c r="H8" i="19" s="1"/>
  <c r="H34" i="17"/>
  <c r="R9" i="3"/>
  <c r="C27" i="17"/>
  <c r="H53" i="17" l="1"/>
  <c r="H51" i="17"/>
  <c r="H71" i="17"/>
  <c r="H70" i="17"/>
  <c r="H69" i="17"/>
  <c r="H68" i="17"/>
  <c r="H67" i="17"/>
  <c r="H66" i="17"/>
  <c r="H65" i="17"/>
  <c r="H64" i="17"/>
  <c r="H63" i="17"/>
  <c r="H74" i="17" l="1"/>
  <c r="C38" i="17" l="1"/>
  <c r="H39" i="17"/>
  <c r="C77" i="17"/>
  <c r="H75" i="17"/>
  <c r="H73" i="17"/>
  <c r="H62" i="17"/>
  <c r="H60" i="17"/>
  <c r="H61" i="17"/>
  <c r="H59" i="17"/>
  <c r="H54" i="17"/>
  <c r="H48" i="17"/>
  <c r="H50" i="17"/>
  <c r="H58" i="17"/>
  <c r="H57" i="17"/>
  <c r="H56" i="17"/>
  <c r="H55" i="17"/>
  <c r="H33" i="17"/>
  <c r="H32" i="17"/>
  <c r="H31" i="17"/>
  <c r="H30" i="17"/>
  <c r="H29" i="17"/>
  <c r="H49" i="17"/>
  <c r="H44" i="17"/>
  <c r="H43" i="17"/>
  <c r="C22" i="16"/>
  <c r="C28" i="16" s="1"/>
  <c r="C18" i="16"/>
  <c r="C19" i="16"/>
  <c r="C20" i="16"/>
  <c r="C21" i="16"/>
  <c r="Q9" i="3"/>
  <c r="C26" i="17"/>
  <c r="C25" i="17"/>
  <c r="C24" i="17"/>
  <c r="C23" i="17"/>
  <c r="C22" i="17"/>
  <c r="C20" i="17"/>
  <c r="H26" i="17"/>
  <c r="H20" i="17"/>
  <c r="F8" i="17" l="1"/>
  <c r="H77" i="17"/>
  <c r="C34" i="17"/>
  <c r="C8" i="17" s="1"/>
  <c r="H44" i="16"/>
  <c r="C44" i="16"/>
  <c r="C38" i="16"/>
  <c r="C36" i="16"/>
  <c r="H28" i="16"/>
  <c r="H24" i="16"/>
  <c r="H22" i="16"/>
  <c r="H21" i="16"/>
  <c r="H19" i="16"/>
  <c r="H18" i="16"/>
  <c r="H17" i="16"/>
  <c r="H38" i="16"/>
  <c r="H43" i="16"/>
  <c r="H16" i="16"/>
  <c r="H15" i="16"/>
  <c r="P9" i="3"/>
  <c r="A8" i="16"/>
  <c r="H57" i="15"/>
  <c r="H56" i="15"/>
  <c r="H55" i="15"/>
  <c r="H54" i="15"/>
  <c r="H53" i="15"/>
  <c r="H52" i="15"/>
  <c r="H51" i="15"/>
  <c r="H50" i="15"/>
  <c r="H49" i="15"/>
  <c r="I60" i="15"/>
  <c r="H60" i="15"/>
  <c r="O9" i="3"/>
  <c r="C60" i="15"/>
  <c r="C8" i="15" s="1"/>
  <c r="A8" i="15"/>
  <c r="H47" i="15"/>
  <c r="H42" i="15"/>
  <c r="I41" i="15"/>
  <c r="I40" i="15"/>
  <c r="I39" i="15"/>
  <c r="I38" i="15"/>
  <c r="H37" i="15"/>
  <c r="I37" i="15" s="1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H18" i="15"/>
  <c r="H14" i="15"/>
  <c r="C102" i="15"/>
  <c r="H112" i="14"/>
  <c r="I89" i="14"/>
  <c r="I85" i="14"/>
  <c r="I86" i="14"/>
  <c r="I87" i="14"/>
  <c r="I88" i="14"/>
  <c r="I90" i="14"/>
  <c r="I91" i="14"/>
  <c r="I92" i="14"/>
  <c r="I93" i="14"/>
  <c r="I94" i="14"/>
  <c r="I95" i="14"/>
  <c r="I96" i="14"/>
  <c r="I97" i="14"/>
  <c r="I98" i="14"/>
  <c r="I99" i="14"/>
  <c r="I100" i="14"/>
  <c r="H82" i="14"/>
  <c r="C117" i="14"/>
  <c r="H101" i="14"/>
  <c r="I101" i="14" s="1"/>
  <c r="I84" i="14"/>
  <c r="F8" i="16" l="1"/>
  <c r="C8" i="16"/>
  <c r="F8" i="15"/>
  <c r="H8" i="15"/>
  <c r="I102" i="15"/>
  <c r="H102" i="15"/>
  <c r="H74" i="14"/>
  <c r="H73" i="14"/>
  <c r="H72" i="14"/>
  <c r="H71" i="14"/>
  <c r="H68" i="14"/>
  <c r="H66" i="14"/>
  <c r="H65" i="14"/>
  <c r="H70" i="14"/>
  <c r="H69" i="14"/>
  <c r="H64" i="14"/>
  <c r="H63" i="14"/>
  <c r="H62" i="14"/>
  <c r="H60" i="14"/>
  <c r="H59" i="14"/>
  <c r="H58" i="14"/>
  <c r="H57" i="14"/>
  <c r="H56" i="14"/>
  <c r="H55" i="14"/>
  <c r="H54" i="14"/>
  <c r="H53" i="14"/>
  <c r="H52" i="14"/>
  <c r="H51" i="14"/>
  <c r="H50" i="14"/>
  <c r="H8" i="16" l="1"/>
  <c r="H106" i="14"/>
  <c r="I106" i="14" s="1"/>
  <c r="I103" i="14"/>
  <c r="I105" i="14"/>
  <c r="H116" i="14"/>
  <c r="H115" i="14"/>
  <c r="I102" i="14"/>
  <c r="I104" i="14"/>
  <c r="H107" i="14"/>
  <c r="H79" i="14"/>
  <c r="H117" i="14" s="1"/>
  <c r="C20" i="14"/>
  <c r="N9" i="3"/>
  <c r="H44" i="14"/>
  <c r="H43" i="14"/>
  <c r="H41" i="14"/>
  <c r="C17" i="14"/>
  <c r="H46" i="14"/>
  <c r="H40" i="14"/>
  <c r="H39" i="14"/>
  <c r="H38" i="14"/>
  <c r="H37" i="14"/>
  <c r="H36" i="14"/>
  <c r="H35" i="14"/>
  <c r="H34" i="14"/>
  <c r="H33" i="14"/>
  <c r="H29" i="14"/>
  <c r="H27" i="14"/>
  <c r="H22" i="14"/>
  <c r="H17" i="14"/>
  <c r="H16" i="14"/>
  <c r="A8" i="17" l="1"/>
  <c r="H8" i="17" s="1"/>
  <c r="I117" i="14"/>
  <c r="H75" i="14"/>
  <c r="C75" i="14"/>
  <c r="C8" i="14" s="1"/>
  <c r="F8" i="14"/>
  <c r="C74" i="13"/>
  <c r="C46" i="13"/>
  <c r="M9" i="3"/>
  <c r="C43" i="13"/>
  <c r="H57" i="13"/>
  <c r="H8" i="14" l="1"/>
  <c r="H37" i="13"/>
  <c r="H36" i="13"/>
  <c r="H35" i="13"/>
  <c r="H34" i="13"/>
  <c r="H33" i="13"/>
  <c r="H32" i="13"/>
  <c r="C18" i="13"/>
  <c r="H55" i="13" l="1"/>
  <c r="H70" i="13"/>
  <c r="H69" i="13"/>
  <c r="H68" i="13"/>
  <c r="H67" i="13"/>
  <c r="H66" i="13"/>
  <c r="H65" i="13"/>
  <c r="H64" i="13"/>
  <c r="H63" i="13"/>
  <c r="H62" i="13"/>
  <c r="H61" i="13"/>
  <c r="H24" i="13"/>
  <c r="H16" i="13"/>
  <c r="H15" i="13"/>
  <c r="H14" i="13"/>
  <c r="H38" i="13" s="1"/>
  <c r="H27" i="13"/>
  <c r="C15" i="13"/>
  <c r="C38" i="13" s="1"/>
  <c r="H21" i="13"/>
  <c r="H20" i="13"/>
  <c r="H17" i="13"/>
  <c r="H22" i="13"/>
  <c r="H23" i="13"/>
  <c r="H25" i="13"/>
  <c r="H26" i="13"/>
  <c r="C8" i="13" l="1"/>
  <c r="H50" i="13"/>
  <c r="H45" i="13"/>
  <c r="H44" i="13"/>
  <c r="H74" i="13" s="1"/>
  <c r="H52" i="12"/>
  <c r="H46" i="12"/>
  <c r="H47" i="12"/>
  <c r="H41" i="12"/>
  <c r="H42" i="12"/>
  <c r="H43" i="12"/>
  <c r="H44" i="12"/>
  <c r="H45" i="12"/>
  <c r="C52" i="12"/>
  <c r="H35" i="12"/>
  <c r="H34" i="12"/>
  <c r="H33" i="12"/>
  <c r="H30" i="12"/>
  <c r="H29" i="12"/>
  <c r="H27" i="12"/>
  <c r="H26" i="12"/>
  <c r="H25" i="12"/>
  <c r="H24" i="12"/>
  <c r="F8" i="13" l="1"/>
  <c r="H8" i="13" s="1"/>
  <c r="H28" i="12"/>
  <c r="H23" i="12"/>
  <c r="H22" i="12"/>
  <c r="A8" i="12"/>
  <c r="L9" i="3"/>
  <c r="C14" i="12"/>
  <c r="H21" i="12"/>
  <c r="H18" i="12"/>
  <c r="H16" i="12"/>
  <c r="H36" i="12" s="1"/>
  <c r="H15" i="12"/>
  <c r="C36" i="12"/>
  <c r="C8" i="12" s="1"/>
  <c r="H76" i="11"/>
  <c r="F8" i="12" l="1"/>
  <c r="H8" i="12" s="1"/>
  <c r="H50" i="11"/>
  <c r="H49" i="11"/>
  <c r="H48" i="11"/>
  <c r="H47" i="11"/>
  <c r="H46" i="11"/>
  <c r="H45" i="11"/>
  <c r="H43" i="11"/>
  <c r="H44" i="11"/>
  <c r="H41" i="11"/>
  <c r="I29" i="11"/>
  <c r="I16" i="11" l="1"/>
  <c r="I18" i="11"/>
  <c r="I19" i="11"/>
  <c r="I21" i="11"/>
  <c r="I22" i="11"/>
  <c r="I23" i="11"/>
  <c r="I26" i="11"/>
  <c r="I27" i="11"/>
  <c r="I28" i="11"/>
  <c r="I30" i="11"/>
  <c r="I31" i="11"/>
  <c r="C17" i="11"/>
  <c r="C41" i="10"/>
  <c r="H35" i="10"/>
  <c r="I67" i="10"/>
  <c r="H67" i="10"/>
  <c r="H34" i="10"/>
  <c r="H31" i="10"/>
  <c r="H30" i="10"/>
  <c r="H29" i="10"/>
  <c r="H28" i="10"/>
  <c r="H27" i="10"/>
  <c r="H26" i="10"/>
  <c r="H25" i="10"/>
  <c r="H24" i="10"/>
  <c r="H36" i="11"/>
  <c r="I34" i="11"/>
  <c r="H34" i="11"/>
  <c r="H25" i="11"/>
  <c r="I25" i="11" s="1"/>
  <c r="H24" i="11"/>
  <c r="I24" i="11" s="1"/>
  <c r="H20" i="11"/>
  <c r="I20" i="11" s="1"/>
  <c r="H17" i="11"/>
  <c r="I17" i="11" s="1"/>
  <c r="H15" i="11"/>
  <c r="C76" i="11"/>
  <c r="H21" i="10"/>
  <c r="C85" i="9"/>
  <c r="K9" i="3"/>
  <c r="H51" i="11" l="1"/>
  <c r="C51" i="11"/>
  <c r="C8" i="11" s="1"/>
  <c r="I15" i="11"/>
  <c r="I51" i="11" s="1"/>
  <c r="C47" i="10"/>
  <c r="F8" i="11" l="1"/>
  <c r="H8" i="11" s="1"/>
  <c r="H60" i="10"/>
  <c r="I58" i="10"/>
  <c r="H58" i="10"/>
  <c r="I55" i="10"/>
  <c r="I54" i="10"/>
  <c r="I53" i="10"/>
  <c r="I52" i="10"/>
  <c r="I51" i="10"/>
  <c r="H50" i="10"/>
  <c r="I50" i="10" s="1"/>
  <c r="H49" i="10"/>
  <c r="I49" i="10" s="1"/>
  <c r="I48" i="10"/>
  <c r="I47" i="10"/>
  <c r="I46" i="10"/>
  <c r="H45" i="10"/>
  <c r="I45" i="10" s="1"/>
  <c r="I44" i="10"/>
  <c r="I43" i="10"/>
  <c r="H42" i="10"/>
  <c r="I42" i="10" s="1"/>
  <c r="I41" i="10"/>
  <c r="H40" i="10"/>
  <c r="I40" i="10" s="1"/>
  <c r="J9" i="3"/>
  <c r="H23" i="10"/>
  <c r="H19" i="10"/>
  <c r="H17" i="10"/>
  <c r="H16" i="10"/>
  <c r="H15" i="10"/>
  <c r="C14" i="10"/>
  <c r="C35" i="10" s="1"/>
  <c r="H14" i="10"/>
  <c r="I98" i="9"/>
  <c r="I101" i="9"/>
  <c r="H101" i="9"/>
  <c r="I96" i="9"/>
  <c r="I95" i="9"/>
  <c r="I94" i="9"/>
  <c r="H93" i="9"/>
  <c r="I93" i="9" s="1"/>
  <c r="H92" i="9"/>
  <c r="I92" i="9" s="1"/>
  <c r="I91" i="9"/>
  <c r="I90" i="9"/>
  <c r="I87" i="9"/>
  <c r="I86" i="9"/>
  <c r="I97" i="9"/>
  <c r="I89" i="9"/>
  <c r="H88" i="9"/>
  <c r="I88" i="9" s="1"/>
  <c r="H82" i="9"/>
  <c r="C8" i="10" l="1"/>
  <c r="C67" i="10"/>
  <c r="F8" i="10"/>
  <c r="H85" i="9"/>
  <c r="I85" i="9" s="1"/>
  <c r="I84" i="9"/>
  <c r="H83" i="9"/>
  <c r="I83" i="9" s="1"/>
  <c r="H8" i="10" l="1"/>
  <c r="H77" i="9"/>
  <c r="H80" i="9"/>
  <c r="C76" i="9"/>
  <c r="H81" i="9"/>
  <c r="H78" i="9"/>
  <c r="H71" i="9"/>
  <c r="H70" i="9"/>
  <c r="H69" i="9"/>
  <c r="H68" i="9"/>
  <c r="H67" i="9"/>
  <c r="H66" i="9"/>
  <c r="H65" i="9"/>
  <c r="H64" i="9"/>
  <c r="I9" i="3"/>
  <c r="C18" i="9"/>
  <c r="C72" i="9" s="1"/>
  <c r="C8" i="9" s="1"/>
  <c r="H76" i="9"/>
  <c r="H60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3" i="9"/>
  <c r="I33" i="9" s="1"/>
  <c r="H30" i="9"/>
  <c r="H28" i="9"/>
  <c r="H25" i="9"/>
  <c r="H24" i="9"/>
  <c r="H22" i="9"/>
  <c r="H20" i="9"/>
  <c r="H19" i="9"/>
  <c r="H18" i="9"/>
  <c r="H14" i="9"/>
  <c r="H46" i="7"/>
  <c r="H50" i="7"/>
  <c r="H51" i="7"/>
  <c r="I93" i="7" s="1"/>
  <c r="H52" i="7"/>
  <c r="H93" i="7" s="1"/>
  <c r="H54" i="7"/>
  <c r="H56" i="7"/>
  <c r="H57" i="7"/>
  <c r="H60" i="7"/>
  <c r="H62" i="7"/>
  <c r="H65" i="7"/>
  <c r="I65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C110" i="9"/>
  <c r="C93" i="7"/>
  <c r="I110" i="9" l="1"/>
  <c r="H110" i="9"/>
  <c r="I72" i="9"/>
  <c r="F8" i="9" s="1"/>
  <c r="H8" i="9" s="1"/>
  <c r="H72" i="9"/>
  <c r="H41" i="7"/>
  <c r="H40" i="7"/>
  <c r="H39" i="7"/>
  <c r="H38" i="7"/>
  <c r="H37" i="7"/>
  <c r="H36" i="7"/>
  <c r="H35" i="7"/>
  <c r="H32" i="7"/>
  <c r="H31" i="7"/>
  <c r="H30" i="7"/>
  <c r="H29" i="7"/>
  <c r="H28" i="7"/>
  <c r="H27" i="7"/>
  <c r="H26" i="7"/>
  <c r="H25" i="7"/>
  <c r="B5" i="8" s="1"/>
  <c r="C22" i="7"/>
  <c r="C21" i="7"/>
  <c r="C20" i="7"/>
  <c r="H24" i="7"/>
  <c r="C18" i="7"/>
  <c r="C17" i="7"/>
  <c r="H17" i="7"/>
  <c r="H14" i="7"/>
  <c r="H9" i="3"/>
  <c r="H23" i="7"/>
  <c r="H22" i="7"/>
  <c r="H19" i="7"/>
  <c r="H18" i="7"/>
  <c r="H45" i="6"/>
  <c r="H44" i="6"/>
  <c r="H35" i="6"/>
  <c r="H50" i="6"/>
  <c r="H49" i="6"/>
  <c r="H48" i="6"/>
  <c r="H47" i="6"/>
  <c r="H42" i="6"/>
  <c r="H41" i="6"/>
  <c r="H40" i="6"/>
  <c r="H34" i="6"/>
  <c r="H33" i="6"/>
  <c r="H32" i="6"/>
  <c r="H31" i="6"/>
  <c r="H30" i="6"/>
  <c r="H29" i="6"/>
  <c r="H28" i="6"/>
  <c r="H42" i="7" l="1"/>
  <c r="B4" i="8" s="1"/>
  <c r="C42" i="7"/>
  <c r="F8" i="7"/>
  <c r="H51" i="6"/>
  <c r="H27" i="6"/>
  <c r="H26" i="6"/>
  <c r="H25" i="6"/>
  <c r="H24" i="6"/>
  <c r="H23" i="6"/>
  <c r="G9" i="3"/>
  <c r="C18" i="6"/>
  <c r="C14" i="6"/>
  <c r="C51" i="6"/>
  <c r="C69" i="5"/>
  <c r="H69" i="5"/>
  <c r="C48" i="5"/>
  <c r="H47" i="5"/>
  <c r="H46" i="5"/>
  <c r="H45" i="5"/>
  <c r="H44" i="5"/>
  <c r="H43" i="5"/>
  <c r="H42" i="5"/>
  <c r="H41" i="5"/>
  <c r="H40" i="5"/>
  <c r="H60" i="4"/>
  <c r="H59" i="4"/>
  <c r="H58" i="4"/>
  <c r="H57" i="4"/>
  <c r="H56" i="4"/>
  <c r="H55" i="4"/>
  <c r="H54" i="4"/>
  <c r="H53" i="4"/>
  <c r="H17" i="5"/>
  <c r="H15" i="5"/>
  <c r="F9" i="3"/>
  <c r="C8" i="7" l="1"/>
  <c r="B3" i="8"/>
  <c r="H8" i="7"/>
  <c r="C35" i="6"/>
  <c r="C8" i="6"/>
  <c r="F8" i="6"/>
  <c r="I39" i="5"/>
  <c r="I38" i="5"/>
  <c r="H38" i="5"/>
  <c r="I35" i="5"/>
  <c r="I34" i="5"/>
  <c r="I33" i="5"/>
  <c r="H32" i="5"/>
  <c r="I32" i="5" s="1"/>
  <c r="H31" i="5"/>
  <c r="I31" i="5" s="1"/>
  <c r="I30" i="5"/>
  <c r="I29" i="5"/>
  <c r="I28" i="5"/>
  <c r="I27" i="5"/>
  <c r="I26" i="5"/>
  <c r="I25" i="5"/>
  <c r="H24" i="5"/>
  <c r="I24" i="5" s="1"/>
  <c r="I23" i="5"/>
  <c r="H22" i="5"/>
  <c r="I22" i="5" s="1"/>
  <c r="I21" i="5"/>
  <c r="H20" i="5"/>
  <c r="I20" i="5" s="1"/>
  <c r="I48" i="5" s="1"/>
  <c r="F8" i="5" s="1"/>
  <c r="H19" i="5"/>
  <c r="C8" i="5"/>
  <c r="I83" i="4"/>
  <c r="I88" i="4"/>
  <c r="H82" i="4"/>
  <c r="I84" i="4"/>
  <c r="H67" i="4"/>
  <c r="H8" i="6" l="1"/>
  <c r="H48" i="5"/>
  <c r="I82" i="4"/>
  <c r="H70" i="4"/>
  <c r="I70" i="4" s="1"/>
  <c r="H79" i="4"/>
  <c r="I79" i="4" s="1"/>
  <c r="I87" i="4"/>
  <c r="H87" i="4"/>
  <c r="I69" i="4"/>
  <c r="I71" i="4"/>
  <c r="I73" i="4"/>
  <c r="I74" i="4"/>
  <c r="I75" i="4"/>
  <c r="I76" i="4"/>
  <c r="I77" i="4"/>
  <c r="I78" i="4"/>
  <c r="I81" i="4"/>
  <c r="H80" i="4"/>
  <c r="I80" i="4" s="1"/>
  <c r="H72" i="4"/>
  <c r="I72" i="4" s="1"/>
  <c r="H68" i="4"/>
  <c r="H98" i="4" l="1"/>
  <c r="I68" i="4"/>
  <c r="I98" i="4" s="1"/>
  <c r="A8" i="4" l="1"/>
  <c r="A8" i="2"/>
  <c r="E9" i="3"/>
  <c r="H47" i="4"/>
  <c r="C18" i="4"/>
  <c r="C61" i="4" s="1"/>
  <c r="C8" i="4" s="1"/>
  <c r="H14" i="4"/>
  <c r="H49" i="4"/>
  <c r="H46" i="4"/>
  <c r="H45" i="4"/>
  <c r="H44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6" i="4"/>
  <c r="H24" i="4"/>
  <c r="H23" i="4"/>
  <c r="H22" i="4"/>
  <c r="H19" i="4"/>
  <c r="H18" i="4"/>
  <c r="H17" i="4"/>
  <c r="C98" i="4"/>
  <c r="C52" i="1"/>
  <c r="C30" i="1"/>
  <c r="C9" i="3"/>
  <c r="D9" i="3"/>
  <c r="B9" i="3"/>
  <c r="H61" i="4" l="1"/>
  <c r="F8" i="4" s="1"/>
  <c r="H8" i="4" s="1"/>
  <c r="A8" i="5" s="1"/>
  <c r="H8" i="5" s="1"/>
  <c r="C86" i="2"/>
  <c r="C40" i="1"/>
  <c r="C38" i="1"/>
  <c r="C37" i="1"/>
  <c r="C21" i="1" l="1"/>
  <c r="C23" i="1"/>
  <c r="C24" i="1"/>
  <c r="C18" i="2"/>
  <c r="C17" i="2"/>
  <c r="H31" i="2"/>
  <c r="H30" i="2"/>
  <c r="H29" i="2"/>
  <c r="H51" i="1"/>
  <c r="H50" i="1"/>
  <c r="H49" i="1"/>
  <c r="H39" i="2"/>
  <c r="H38" i="2"/>
  <c r="H37" i="2"/>
  <c r="C43" i="2" l="1"/>
  <c r="C8" i="2" s="1"/>
  <c r="H28" i="2"/>
  <c r="H26" i="2"/>
  <c r="H25" i="2"/>
  <c r="H24" i="2"/>
  <c r="H23" i="2"/>
  <c r="H21" i="2"/>
  <c r="H48" i="1"/>
  <c r="H41" i="1"/>
  <c r="H46" i="1"/>
  <c r="H45" i="1"/>
  <c r="H44" i="1"/>
  <c r="H43" i="1"/>
  <c r="H85" i="2"/>
  <c r="H82" i="2"/>
  <c r="H81" i="2"/>
  <c r="H80" i="2"/>
  <c r="H78" i="2"/>
  <c r="H77" i="2"/>
  <c r="H76" i="2"/>
  <c r="H75" i="2"/>
  <c r="H74" i="2"/>
  <c r="H73" i="2"/>
  <c r="H72" i="2"/>
  <c r="H71" i="2"/>
  <c r="H70" i="2"/>
  <c r="H69" i="2"/>
  <c r="H68" i="2"/>
  <c r="H62" i="2"/>
  <c r="H63" i="2"/>
  <c r="H59" i="2"/>
  <c r="H58" i="2"/>
  <c r="H56" i="2"/>
  <c r="H55" i="2"/>
  <c r="H54" i="2"/>
  <c r="H51" i="2"/>
  <c r="H50" i="2"/>
  <c r="H49" i="2"/>
  <c r="H86" i="2" l="1"/>
  <c r="H43" i="2"/>
  <c r="F8" i="2" s="1"/>
  <c r="H52" i="1"/>
  <c r="C19" i="1"/>
  <c r="C18" i="1"/>
  <c r="C15" i="1"/>
  <c r="C14" i="1"/>
  <c r="C13" i="1"/>
  <c r="H28" i="1"/>
  <c r="H27" i="1"/>
  <c r="H26" i="1"/>
  <c r="H25" i="1"/>
  <c r="H24" i="1"/>
  <c r="H23" i="1"/>
  <c r="H21" i="1"/>
  <c r="H19" i="1"/>
  <c r="H17" i="1"/>
  <c r="H13" i="1"/>
  <c r="H30" i="1" s="1"/>
  <c r="F7" i="1" l="1"/>
  <c r="C7" i="1"/>
  <c r="H7" i="1" s="1"/>
  <c r="H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tc={54ADC3EB-3075-4178-8AAB-48CDAEFE8063}</author>
  </authors>
  <commentList>
    <comment ref="H19" authorId="0" shapeId="0" xr:uid="{54ADC3EB-3075-4178-8AAB-48CDAEFE806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EBS운영 (종료전까지) - 175,600
경영기획팀 - 9,446,840
박영일 이사 - 807,200
권세희 책임 - 313,910</t>
      </text>
    </comment>
  </commentList>
</comments>
</file>

<file path=xl/sharedStrings.xml><?xml version="1.0" encoding="utf-8"?>
<sst xmlns="http://schemas.openxmlformats.org/spreadsheetml/2006/main" count="4437" uniqueCount="1243">
  <si>
    <t>월</t>
    <phoneticPr fontId="2" type="noConversion"/>
  </si>
  <si>
    <t>4월</t>
    <phoneticPr fontId="2" type="noConversion"/>
  </si>
  <si>
    <t>5월</t>
  </si>
  <si>
    <t>6월</t>
  </si>
  <si>
    <t>7월</t>
  </si>
  <si>
    <t>8월</t>
  </si>
  <si>
    <t>9월</t>
  </si>
  <si>
    <t>10월</t>
  </si>
  <si>
    <t>11월</t>
  </si>
  <si>
    <t>12월</t>
  </si>
  <si>
    <t>비고</t>
    <phoneticPr fontId="2" type="noConversion"/>
  </si>
  <si>
    <t>총 입금</t>
    <phoneticPr fontId="2" type="noConversion"/>
  </si>
  <si>
    <t>총 출금</t>
    <phoneticPr fontId="2" type="noConversion"/>
  </si>
  <si>
    <t>경영기획팀 지출결의서</t>
    <phoneticPr fontId="2" type="noConversion"/>
  </si>
  <si>
    <t>주간 입출금 보고서</t>
    <phoneticPr fontId="2" type="noConversion"/>
  </si>
  <si>
    <t xml:space="preserve">■발의일자 : 2021년     3 월   21  일                                                                                                                  </t>
    <phoneticPr fontId="2" type="noConversion"/>
  </si>
  <si>
    <t>■ 자금 현황</t>
    <phoneticPr fontId="2" type="noConversion"/>
  </si>
  <si>
    <t>지난주 잔액</t>
    <phoneticPr fontId="2" type="noConversion"/>
  </si>
  <si>
    <t>입 금</t>
    <phoneticPr fontId="2" type="noConversion"/>
  </si>
  <si>
    <t>출 금</t>
    <phoneticPr fontId="2" type="noConversion"/>
  </si>
  <si>
    <t>금 주 잔 액</t>
    <phoneticPr fontId="2" type="noConversion"/>
  </si>
  <si>
    <t>■ 금주 입, 출금 현황</t>
    <phoneticPr fontId="2" type="noConversion"/>
  </si>
  <si>
    <t>금주 입금현황(3/15~3/19)</t>
    <phoneticPr fontId="2" type="noConversion"/>
  </si>
  <si>
    <t>금주 출금현황(3/15~3/19)</t>
    <phoneticPr fontId="2" type="noConversion"/>
  </si>
  <si>
    <t>번호</t>
    <phoneticPr fontId="2" type="noConversion"/>
  </si>
  <si>
    <t>내 역</t>
    <phoneticPr fontId="2" type="noConversion"/>
  </si>
  <si>
    <t>금액</t>
    <phoneticPr fontId="2" type="noConversion"/>
  </si>
  <si>
    <t>입금일</t>
    <phoneticPr fontId="2" type="noConversion"/>
  </si>
  <si>
    <t>아주대학교 입학홈페이지 유지보수 잔금 -진학어플라이</t>
    <phoneticPr fontId="2" type="noConversion"/>
  </si>
  <si>
    <t>3/15 입금완료</t>
    <phoneticPr fontId="2" type="noConversion"/>
  </si>
  <si>
    <t>신한은행 입금</t>
    <phoneticPr fontId="2" type="noConversion"/>
  </si>
  <si>
    <t>2020년 연말정산 지급분 (직원)</t>
    <phoneticPr fontId="2" type="noConversion"/>
  </si>
  <si>
    <t>03월 15일</t>
  </si>
  <si>
    <t>통장이체</t>
    <phoneticPr fontId="2" type="noConversion"/>
  </si>
  <si>
    <t>키움저축은행 잔금 - 다우기술</t>
    <phoneticPr fontId="2" type="noConversion"/>
  </si>
  <si>
    <t>"</t>
    <phoneticPr fontId="2" type="noConversion"/>
  </si>
  <si>
    <t>2월분 프리급여 (미지급분)</t>
    <phoneticPr fontId="2" type="noConversion"/>
  </si>
  <si>
    <t>"</t>
  </si>
  <si>
    <t>역삼세무서 환급금 - 역삼세무서</t>
    <phoneticPr fontId="2" type="noConversion"/>
  </si>
  <si>
    <t>3/16 입금완료</t>
    <phoneticPr fontId="2" type="noConversion"/>
  </si>
  <si>
    <t>씨젠 외주업체</t>
  </si>
  <si>
    <t>1년 미만자 퇴직금 반환 (김유진) - 퇴직연금</t>
    <phoneticPr fontId="2" type="noConversion"/>
  </si>
  <si>
    <t>LG CNS김동민 (2월분)</t>
  </si>
  <si>
    <t>1년 미만자 퇴직금 반환 (김성민) - 퇴직연금</t>
    <phoneticPr fontId="2" type="noConversion"/>
  </si>
  <si>
    <t xml:space="preserve">SK </t>
    <phoneticPr fontId="2" type="noConversion"/>
  </si>
  <si>
    <t>힐스테이트 르피에드 인 강남 분양건 - 트레이서</t>
    <phoneticPr fontId="2" type="noConversion"/>
  </si>
  <si>
    <t>3/17 입금완료</t>
    <phoneticPr fontId="2" type="noConversion"/>
  </si>
  <si>
    <t>SK마이서니 외주 개발인력 (2월분)</t>
  </si>
  <si>
    <t xml:space="preserve">신한은행 주거래 이자수익 </t>
    <phoneticPr fontId="2" type="noConversion"/>
  </si>
  <si>
    <t>3/20 입금완료</t>
    <phoneticPr fontId="2" type="noConversion"/>
  </si>
  <si>
    <t>이사님 가수금 반제</t>
    <phoneticPr fontId="2" type="noConversion"/>
  </si>
  <si>
    <t>애큐온저축은행 주거래 이자수익</t>
    <phoneticPr fontId="2" type="noConversion"/>
  </si>
  <si>
    <t>애큐온저축은행 입금</t>
    <phoneticPr fontId="2" type="noConversion"/>
  </si>
  <si>
    <t>라이트스택 단기차입금 반제</t>
    <phoneticPr fontId="2" type="noConversion"/>
  </si>
  <si>
    <t>03월 16일</t>
  </si>
  <si>
    <t>일학습병행제 훈련비 입금</t>
  </si>
  <si>
    <t>3/19 입금완료</t>
    <phoneticPr fontId="2" type="noConversion"/>
  </si>
  <si>
    <t>우리은행 입금</t>
    <phoneticPr fontId="2" type="noConversion"/>
  </si>
  <si>
    <t>대표님 가수금 반제</t>
    <phoneticPr fontId="2" type="noConversion"/>
  </si>
  <si>
    <t>일학습병행제 훈련비 입금</t>
    <phoneticPr fontId="2" type="noConversion"/>
  </si>
  <si>
    <t>SK 전용 세금계산서 사용료</t>
    <phoneticPr fontId="2" type="noConversion"/>
  </si>
  <si>
    <t>자동이체</t>
    <phoneticPr fontId="2" type="noConversion"/>
  </si>
  <si>
    <t>우리은행 주거래 이자수익</t>
    <phoneticPr fontId="2" type="noConversion"/>
  </si>
  <si>
    <t>생일 기프티콘 발송 (이정아)</t>
    <phoneticPr fontId="2" type="noConversion"/>
  </si>
  <si>
    <t>법인카드사용분</t>
    <phoneticPr fontId="2" type="noConversion"/>
  </si>
  <si>
    <t>우리은행 일학습병행제 이자수익</t>
    <phoneticPr fontId="2" type="noConversion"/>
  </si>
  <si>
    <t>실적증명서 발급 (SH공사 제안건)</t>
    <phoneticPr fontId="2" type="noConversion"/>
  </si>
  <si>
    <t xml:space="preserve">퀵 발송 (유컴패니온 -&gt; EBS / EBS통합운영 제안건) </t>
    <phoneticPr fontId="2" type="noConversion"/>
  </si>
  <si>
    <t>퀵 발송 (광화문-&gt;매봉 / PC 이동)</t>
    <phoneticPr fontId="2" type="noConversion"/>
  </si>
  <si>
    <t>제갈정선임 시부상 부고화환 발송</t>
    <phoneticPr fontId="2" type="noConversion"/>
  </si>
  <si>
    <t>어도비 3월 사용료</t>
    <phoneticPr fontId="2" type="noConversion"/>
  </si>
  <si>
    <t>제플린 3월 사용료 (29달러)</t>
    <phoneticPr fontId="2" type="noConversion"/>
  </si>
  <si>
    <t>합 계</t>
    <phoneticPr fontId="2" type="noConversion"/>
  </si>
  <si>
    <t>(법인카드사용분 제외)</t>
    <phoneticPr fontId="2" type="noConversion"/>
  </si>
  <si>
    <t>■ 차주 입, 출금 예정</t>
    <phoneticPr fontId="2" type="noConversion"/>
  </si>
  <si>
    <t>차주 입금예정 (3/22~3/26)</t>
    <phoneticPr fontId="2" type="noConversion"/>
  </si>
  <si>
    <t>차주 출금예정(3/22~3/26)</t>
    <phoneticPr fontId="2" type="noConversion"/>
  </si>
  <si>
    <t>EBS 공교육지원 인터넷서비스 운영 2월 -쌍용정보통신</t>
    <phoneticPr fontId="2" type="noConversion"/>
  </si>
  <si>
    <t>3/22 입금완료</t>
    <phoneticPr fontId="2" type="noConversion"/>
  </si>
  <si>
    <t>농협대출이자 납부</t>
    <phoneticPr fontId="2" type="noConversion"/>
  </si>
  <si>
    <t>2019 EBS 패밀리사이트 통합운영사업 2월 - 쌍용정보통신 (교재POD)</t>
    <phoneticPr fontId="2" type="noConversion"/>
  </si>
  <si>
    <t>SK my suni 경비지급</t>
    <phoneticPr fontId="2" type="noConversion"/>
  </si>
  <si>
    <t>LG CNS 커머스 플랫폼 재구축 사업 2월분  - 아이온커뮤니케이션</t>
    <phoneticPr fontId="2" type="noConversion"/>
  </si>
  <si>
    <t>3/25 입금완료</t>
    <phoneticPr fontId="2" type="noConversion"/>
  </si>
  <si>
    <t>롯데카드 경비지급</t>
    <phoneticPr fontId="2" type="noConversion"/>
  </si>
  <si>
    <t>현대오토에버 현대건설 1월분 입금</t>
    <phoneticPr fontId="2" type="noConversion"/>
  </si>
  <si>
    <t>3/26 입금완료</t>
    <phoneticPr fontId="2" type="noConversion"/>
  </si>
  <si>
    <t>현대스탁론 경비지급</t>
    <phoneticPr fontId="2" type="noConversion"/>
  </si>
  <si>
    <t>현대오토에버 엔지니어링 1월분 입금</t>
    <phoneticPr fontId="2" type="noConversion"/>
  </si>
  <si>
    <t>한경닷컴 보도자료 배포 (롯데카드 마이데이터)</t>
    <phoneticPr fontId="2" type="noConversion"/>
  </si>
  <si>
    <t>뉴스1 보도자료 배포 (롯데카드 마이데이터)</t>
    <phoneticPr fontId="2" type="noConversion"/>
  </si>
  <si>
    <t>기업은행 주거래 이자수익</t>
    <phoneticPr fontId="2" type="noConversion"/>
  </si>
  <si>
    <t>기업은행 입금</t>
    <phoneticPr fontId="2" type="noConversion"/>
  </si>
  <si>
    <t>코트라 경비지급</t>
    <phoneticPr fontId="2" type="noConversion"/>
  </si>
  <si>
    <t>우리카드 대금 3월분</t>
    <phoneticPr fontId="2" type="noConversion"/>
  </si>
  <si>
    <t>신한카드 대금 3월분</t>
    <phoneticPr fontId="2" type="noConversion"/>
  </si>
  <si>
    <t>2020년 2기 부가가치세 분할납부</t>
    <phoneticPr fontId="2" type="noConversion"/>
  </si>
  <si>
    <t>LG U+ 인터넷, 전화 3월분</t>
    <phoneticPr fontId="2" type="noConversion"/>
  </si>
  <si>
    <t xml:space="preserve">SK 브로드밴드 3월분 </t>
    <phoneticPr fontId="2" type="noConversion"/>
  </si>
  <si>
    <t>세콤 4월분 (본사)</t>
    <phoneticPr fontId="2" type="noConversion"/>
  </si>
  <si>
    <t xml:space="preserve">스마일 EDI </t>
    <phoneticPr fontId="2" type="noConversion"/>
  </si>
  <si>
    <t>세콤 4월분 (광화문)</t>
    <phoneticPr fontId="2" type="noConversion"/>
  </si>
  <si>
    <t>코리아노무법인 3월 자문수수료</t>
    <phoneticPr fontId="2" type="noConversion"/>
  </si>
  <si>
    <t>대림비앤코 3월 렌탈료 (본사 3,4층 정수기, 비데)</t>
    <phoneticPr fontId="2" type="noConversion"/>
  </si>
  <si>
    <t>청호렌탈 3월 렌탈료 (광화문 정수기)</t>
    <phoneticPr fontId="2" type="noConversion"/>
  </si>
  <si>
    <t xml:space="preserve">■발의일자 : 2021년     3 월   26  일                                                                                                                  </t>
    <phoneticPr fontId="2" type="noConversion"/>
  </si>
  <si>
    <t>금주 입금현황(3/22~3/26)</t>
    <phoneticPr fontId="2" type="noConversion"/>
  </si>
  <si>
    <t>금주 출금현황(3/22~3/26)</t>
    <phoneticPr fontId="2" type="noConversion"/>
  </si>
  <si>
    <t>금액(VAT포함)</t>
    <phoneticPr fontId="2" type="noConversion"/>
  </si>
  <si>
    <t>신한은행 통장이체
(신한-&gt;농협이체)</t>
    <phoneticPr fontId="2" type="noConversion"/>
  </si>
  <si>
    <t>" (신한-&gt;우리이체)</t>
    <phoneticPr fontId="2" type="noConversion"/>
  </si>
  <si>
    <t>신한은행 자동이체</t>
    <phoneticPr fontId="2" type="noConversion"/>
  </si>
  <si>
    <t>퀵 발송 (유컴패니온-&gt; SK파견지, 롯데카드 파견지 / 경비 체크카드)</t>
  </si>
  <si>
    <t>생일기프티콘 발송 (전병길 전임)</t>
  </si>
  <si>
    <t>본사 사무실 비품 구매 (경영기획팀 서랍장, 
핸드타올,롤티슈,물티슈,녹차,둥굴레차,케냐AA,보조받침대,키보드.마우스, 노트북쿨러)</t>
    <phoneticPr fontId="2" type="noConversion"/>
  </si>
  <si>
    <t>우편발송 ( 현대오토에버  2021년 동반성장 협약서)</t>
  </si>
  <si>
    <t>본사 사무용품 및 경영기획팀 신규입사자 물품 구매 
(스테플러,수정테이프, 유성펜, 포스트잇,형광펜,자, 
클립, L자 파일, 우편발송용 봉투, USB, 책꽂이)</t>
    <phoneticPr fontId="2" type="noConversion"/>
  </si>
  <si>
    <t>우편발송 (씨젠계약서)</t>
    <phoneticPr fontId="2" type="noConversion"/>
  </si>
  <si>
    <t>본사 종량제쓰레기봉투 10L 4묶음 구매</t>
    <phoneticPr fontId="2" type="noConversion"/>
  </si>
  <si>
    <t>우편발송 (뱅크웨어글로벌 - 롯데카드, 현대캐피탈 계약서)</t>
    <phoneticPr fontId="2" type="noConversion"/>
  </si>
  <si>
    <t>생일기프티콘 발송 (박찬호 수석)</t>
    <phoneticPr fontId="2" type="noConversion"/>
  </si>
  <si>
    <t>생일기프티콘 발송 (이지혜 전임)</t>
    <phoneticPr fontId="2" type="noConversion"/>
  </si>
  <si>
    <t>지라, 컨플루언스 3월 사용료 (1,804 달러)</t>
    <phoneticPr fontId="2" type="noConversion"/>
  </si>
  <si>
    <t>차주 입금예정(3/29~4/2)</t>
    <phoneticPr fontId="2" type="noConversion"/>
  </si>
  <si>
    <t>차주 출금예정(3/29~4/2)</t>
    <phoneticPr fontId="2" type="noConversion"/>
  </si>
  <si>
    <t>비상 한국어튜터 중도금_밸류시스</t>
    <phoneticPr fontId="2" type="noConversion"/>
  </si>
  <si>
    <t>3/31 예정</t>
    <phoneticPr fontId="2" type="noConversion"/>
  </si>
  <si>
    <t>덕윤빌딩 임대료 3월분(3층, 4층)</t>
    <phoneticPr fontId="2" type="noConversion"/>
  </si>
  <si>
    <t>LG상사 웹진운영 3월분</t>
    <phoneticPr fontId="2" type="noConversion"/>
  </si>
  <si>
    <t>로얄빌딩 3월 관리비, 주차비, 시스템난방청소비</t>
  </si>
  <si>
    <t>중랑구청 유지보수 3월분</t>
    <phoneticPr fontId="2" type="noConversion"/>
  </si>
  <si>
    <t>로얄빌딩 3월 임대료 - 로얄빌딩 김승택</t>
    <phoneticPr fontId="2" type="noConversion"/>
  </si>
  <si>
    <t xml:space="preserve">애큐온(권장미, 손효주) </t>
    <phoneticPr fontId="2" type="noConversion"/>
  </si>
  <si>
    <t>로얄빌딩 3월 임대료 - 로얄빌딩 김태훈</t>
    <phoneticPr fontId="2" type="noConversion"/>
  </si>
  <si>
    <t>SK마이서니 3월분</t>
    <phoneticPr fontId="2" type="noConversion"/>
  </si>
  <si>
    <t>4/2 예정</t>
    <phoneticPr fontId="2" type="noConversion"/>
  </si>
  <si>
    <t>신도OA 복합기 3월사용료 - 신도디지털OA</t>
    <phoneticPr fontId="2" type="noConversion"/>
  </si>
  <si>
    <t>SKT 아워365 운영 3월분</t>
    <phoneticPr fontId="2" type="noConversion"/>
  </si>
  <si>
    <t>3월분 기장료 - 한결세무사</t>
    <phoneticPr fontId="2" type="noConversion"/>
  </si>
  <si>
    <t>힐스테이트 리슈빌 강일 분양</t>
    <phoneticPr fontId="2" type="noConversion"/>
  </si>
  <si>
    <t>미정</t>
    <phoneticPr fontId="2" type="noConversion"/>
  </si>
  <si>
    <t>3월 청소비 - 더좋은환경</t>
    <phoneticPr fontId="2" type="noConversion"/>
  </si>
  <si>
    <t>힐스테이트 갑천1 트리플시티 분양</t>
    <phoneticPr fontId="2" type="noConversion"/>
  </si>
  <si>
    <t>힐스테이트 유지보수 운영 1월분 - 파이브링크</t>
    <phoneticPr fontId="2" type="noConversion"/>
  </si>
  <si>
    <t>힐스테이트 유지보수 니어서비스 3월분 - 날리지큐브</t>
    <phoneticPr fontId="2" type="noConversion"/>
  </si>
  <si>
    <t>힐스테이트 청계센트럴, 포항 VR촬영건 - 이노페이스</t>
    <phoneticPr fontId="2" type="noConversion"/>
  </si>
  <si>
    <t>3월 일산, 본사.광화문 장비임대건 - 미래 IT</t>
    <phoneticPr fontId="2" type="noConversion"/>
  </si>
  <si>
    <t>3월 삼성 노트북, LG 모니터 임대료 (10대) -한국렌탈</t>
    <phoneticPr fontId="2" type="noConversion"/>
  </si>
  <si>
    <t>3월 명함제작 건 - 다인스케치</t>
    <phoneticPr fontId="2" type="noConversion"/>
  </si>
  <si>
    <t>퇴직연금 2월분 미납분</t>
    <phoneticPr fontId="2" type="noConversion"/>
  </si>
  <si>
    <t>미래에셋 보험료 2월분 미납분</t>
    <phoneticPr fontId="2" type="noConversion"/>
  </si>
  <si>
    <t>중진공 이자 및 원금상환</t>
    <phoneticPr fontId="2" type="noConversion"/>
  </si>
  <si>
    <t>3,4층 전기세 납부</t>
    <phoneticPr fontId="2" type="noConversion"/>
  </si>
  <si>
    <t>우리은행 대출 이자납부</t>
    <phoneticPr fontId="2" type="noConversion"/>
  </si>
  <si>
    <t>일학습병행제 전담인력 수당 11월,12월(한수진 대표)</t>
    <phoneticPr fontId="2" type="noConversion"/>
  </si>
  <si>
    <t>일학습병행제 전담인력 수당 11월,12월(김현정)</t>
    <phoneticPr fontId="2" type="noConversion"/>
  </si>
  <si>
    <t>법인결산 법인세 납부</t>
    <phoneticPr fontId="2" type="noConversion"/>
  </si>
  <si>
    <t>야근식대, 점심식대, 야근교통비 - 박종현</t>
    <phoneticPr fontId="2" type="noConversion"/>
  </si>
  <si>
    <t>야근식대 - 방찬미</t>
    <phoneticPr fontId="2" type="noConversion"/>
  </si>
  <si>
    <t>등기발송 - 권세희</t>
    <phoneticPr fontId="2" type="noConversion"/>
  </si>
  <si>
    <t>야근식대 - 한승연</t>
    <phoneticPr fontId="2" type="noConversion"/>
  </si>
  <si>
    <t>야근식대, 등기발송 - 남은수</t>
    <phoneticPr fontId="2" type="noConversion"/>
  </si>
  <si>
    <t>야근식대 - 전효인</t>
    <phoneticPr fontId="2" type="noConversion"/>
  </si>
  <si>
    <t>야근식대 - 송하늘</t>
    <phoneticPr fontId="2" type="noConversion"/>
  </si>
  <si>
    <t>야근식대 - 장서현</t>
    <phoneticPr fontId="2" type="noConversion"/>
  </si>
  <si>
    <t>야근식대 - 박가영</t>
    <phoneticPr fontId="2" type="noConversion"/>
  </si>
  <si>
    <t>야근식대 - 피영아</t>
    <phoneticPr fontId="2" type="noConversion"/>
  </si>
  <si>
    <t>야근식대 -이희중</t>
    <phoneticPr fontId="2" type="noConversion"/>
  </si>
  <si>
    <t>야근 택시비-고민영</t>
    <phoneticPr fontId="2" type="noConversion"/>
  </si>
  <si>
    <t>디자인팀 회식비 - 최승원</t>
    <phoneticPr fontId="2" type="noConversion"/>
  </si>
  <si>
    <t>일학습병행제 도서구매 - 이호재</t>
    <phoneticPr fontId="2" type="noConversion"/>
  </si>
  <si>
    <t>일학습병행제 도서구매 - 이지혜</t>
    <phoneticPr fontId="2" type="noConversion"/>
  </si>
  <si>
    <t>대표님 개인카드 사용건 - 한수진</t>
    <phoneticPr fontId="2" type="noConversion"/>
  </si>
  <si>
    <t>3월 경비사용 - 경영기획팀</t>
    <phoneticPr fontId="2" type="noConversion"/>
  </si>
  <si>
    <t>3월 경비사용 - EBS 운영팀</t>
    <phoneticPr fontId="2" type="noConversion"/>
  </si>
  <si>
    <t xml:space="preserve">■발의일자 : 2021년     4 월   2  일                                                                                                                  </t>
    <phoneticPr fontId="2" type="noConversion"/>
  </si>
  <si>
    <t>금주 입금현황(3/29~4/2)</t>
    <phoneticPr fontId="2" type="noConversion"/>
  </si>
  <si>
    <t>금주 출금현황(3/29~4/2)</t>
    <phoneticPr fontId="2" type="noConversion"/>
  </si>
  <si>
    <t>3/31 입금완료</t>
    <phoneticPr fontId="2" type="noConversion"/>
  </si>
  <si>
    <t>경영기획팀 서랍장 착불배송비</t>
    <phoneticPr fontId="2" type="noConversion"/>
  </si>
  <si>
    <t>신한은행 통장이체</t>
    <phoneticPr fontId="2" type="noConversion"/>
  </si>
  <si>
    <t>진학어플라이</t>
    <phoneticPr fontId="2" type="noConversion"/>
  </si>
  <si>
    <t>1년 미만자 퇴직금 반환 (지미영) - 퇴직연금</t>
    <phoneticPr fontId="2" type="noConversion"/>
  </si>
  <si>
    <t>4/2 입금완료</t>
    <phoneticPr fontId="2" type="noConversion"/>
  </si>
  <si>
    <t>우리은행(주거래)입금</t>
    <phoneticPr fontId="2" type="noConversion"/>
  </si>
  <si>
    <t>애큐온 입금</t>
    <phoneticPr fontId="2" type="noConversion"/>
  </si>
  <si>
    <t>퇴직연금 2021년 연봉인상분</t>
    <phoneticPr fontId="2" type="noConversion"/>
  </si>
  <si>
    <t>신한은행 대출한도 이자 납부</t>
    <phoneticPr fontId="2" type="noConversion"/>
  </si>
  <si>
    <t>우리은행(주거래) 이체</t>
    <phoneticPr fontId="2" type="noConversion"/>
  </si>
  <si>
    <t>우리은행(일학습)이체</t>
    <phoneticPr fontId="2" type="noConversion"/>
  </si>
  <si>
    <t>광화문 사무실 비품구매(녹차,둥굴레차)</t>
    <phoneticPr fontId="2" type="noConversion"/>
  </si>
  <si>
    <t>선급금이행증권발행 (롯데카드 마이데이터 - 뱅크웨어글로벌)</t>
    <phoneticPr fontId="2" type="noConversion"/>
  </si>
  <si>
    <t>도메인 1개월 비용 (SKTelecom CONNECT+ 개발서버)</t>
    <phoneticPr fontId="2" type="noConversion"/>
  </si>
  <si>
    <t>UX팀 아이맥 구매 (이범구책임)</t>
    <phoneticPr fontId="2" type="noConversion"/>
  </si>
  <si>
    <t>아이맥 2020 5K 16GB 메모리 2개구매 (이범구책임)</t>
    <phoneticPr fontId="2" type="noConversion"/>
  </si>
  <si>
    <t>퀵 발송 (매봉사무실 -&gt; 광화문 사무실 / 미래전략사업팀 PC이동)</t>
    <phoneticPr fontId="2" type="noConversion"/>
  </si>
  <si>
    <t>생일기프티콘 발송 (정혜선 전임)</t>
    <phoneticPr fontId="2" type="noConversion"/>
  </si>
  <si>
    <t>우편발송 (롯데카드 선급금이행증권 - 뱅크웨어글로벌)</t>
    <phoneticPr fontId="2" type="noConversion"/>
  </si>
  <si>
    <t>차주 입금예정(4/5~4/9)</t>
    <phoneticPr fontId="2" type="noConversion"/>
  </si>
  <si>
    <t>차주 출금예정(4/5~4/9)</t>
    <phoneticPr fontId="2" type="noConversion"/>
  </si>
  <si>
    <t>차인금액</t>
    <phoneticPr fontId="2" type="noConversion"/>
  </si>
  <si>
    <t>SKT 아워365 운영 3월분</t>
  </si>
  <si>
    <t xml:space="preserve"> 4/2 예정 </t>
  </si>
  <si>
    <t>농협카드대금 4월분</t>
    <phoneticPr fontId="2" type="noConversion"/>
  </si>
  <si>
    <t xml:space="preserve">비상 마스터토픽 잔금 일부 10% </t>
  </si>
  <si>
    <t>4/10 예정</t>
    <phoneticPr fontId="2" type="noConversion"/>
  </si>
  <si>
    <t>우리카드대금 4월분(후불하이패스)</t>
    <phoneticPr fontId="2" type="noConversion"/>
  </si>
  <si>
    <t>3월분 직원급여</t>
  </si>
  <si>
    <t>박영일 - 3월 프리급여 (본사-개발이사)</t>
    <phoneticPr fontId="2" type="noConversion"/>
  </si>
  <si>
    <t>나연수 - 3월 프리급여 (본사)</t>
    <phoneticPr fontId="2" type="noConversion"/>
  </si>
  <si>
    <t>김대훈 - 3월 프리급여 (본사)</t>
    <phoneticPr fontId="2" type="noConversion"/>
  </si>
  <si>
    <t>3/1 출근</t>
    <phoneticPr fontId="2" type="noConversion"/>
  </si>
  <si>
    <t>박지훈 - 3월 프리급여 (SK)</t>
    <phoneticPr fontId="2" type="noConversion"/>
  </si>
  <si>
    <t>이송하 - 3월 프리급여 (EBS 운영)</t>
    <phoneticPr fontId="2" type="noConversion"/>
  </si>
  <si>
    <t>박소영 - 3월 프리급여 (EBS 운영)</t>
    <phoneticPr fontId="2" type="noConversion"/>
  </si>
  <si>
    <t>최명신 - 3월 프리급여 (EBS 구축)</t>
    <phoneticPr fontId="2" type="noConversion"/>
  </si>
  <si>
    <t>유수현 - 3월 프리급여 (EBS 구축)</t>
    <phoneticPr fontId="2" type="noConversion"/>
  </si>
  <si>
    <t>채지은 - 3월 프리급여 (EBS 구축)</t>
    <phoneticPr fontId="2" type="noConversion"/>
  </si>
  <si>
    <t>조찬기 - 3월 프리급여 (EBS 구축)</t>
    <phoneticPr fontId="2" type="noConversion"/>
  </si>
  <si>
    <t>손효주 - 3월 프리급여 (애큐온저축은행)</t>
    <phoneticPr fontId="2" type="noConversion"/>
  </si>
  <si>
    <t>김승호 - 3월 프리급여(SK)</t>
    <phoneticPr fontId="2" type="noConversion"/>
  </si>
  <si>
    <t>3월분부터 인상</t>
    <phoneticPr fontId="2" type="noConversion"/>
  </si>
  <si>
    <t>강연웅 - 3월 프리급여(SK)</t>
    <phoneticPr fontId="2" type="noConversion"/>
  </si>
  <si>
    <t>이병운 - 3월 프리급여 (SK)</t>
    <phoneticPr fontId="2" type="noConversion"/>
  </si>
  <si>
    <t>서혜림 - 3월 프리급여 (코트라)</t>
    <phoneticPr fontId="2" type="noConversion"/>
  </si>
  <si>
    <t>3/8 출근 5,500,000원 중 
24일 일할계산</t>
    <phoneticPr fontId="2" type="noConversion"/>
  </si>
  <si>
    <t>이우진 - 3월 프리급여 (현대캐피탈)</t>
    <phoneticPr fontId="2" type="noConversion"/>
  </si>
  <si>
    <t>3/22 출근 6,800,000원 중
 10일 일할계산</t>
    <phoneticPr fontId="2" type="noConversion"/>
  </si>
  <si>
    <t>옥미영 - 3월 프리급여 (현대캐피탈)</t>
    <phoneticPr fontId="2" type="noConversion"/>
  </si>
  <si>
    <t>3/22 출근 5,800,000원 중
 10일 일할계산</t>
    <phoneticPr fontId="2" type="noConversion"/>
  </si>
  <si>
    <t>비트랩 - 씨젠 외주업체</t>
    <phoneticPr fontId="2" type="noConversion"/>
  </si>
  <si>
    <t>제이플러스파트너즈 - LG CNS김동민 (3월분)</t>
    <phoneticPr fontId="2" type="noConversion"/>
  </si>
  <si>
    <t>미소나무 - SK마이서니 외주 개발인력 (3월분)</t>
    <phoneticPr fontId="2" type="noConversion"/>
  </si>
  <si>
    <t>플랜디(김선영) - 롯데카드 기획인력 (3월분)</t>
    <phoneticPr fontId="2" type="noConversion"/>
  </si>
  <si>
    <t>3/15 출근 7.000.000원 중 
17일 일할계산</t>
    <phoneticPr fontId="2" type="noConversion"/>
  </si>
  <si>
    <t>근로,사업,지방세,주민세</t>
  </si>
  <si>
    <t>3월분 건강보험료</t>
  </si>
  <si>
    <t>3월분 연금보험료</t>
  </si>
  <si>
    <t>3월분 고용보험료</t>
  </si>
  <si>
    <t>3월분 산재보험료</t>
  </si>
  <si>
    <t>퇴직연금 3월분</t>
  </si>
  <si>
    <t>미래에셋 보험료 3월분</t>
  </si>
  <si>
    <t>신한은행 신용대출 원금상환 및 이자납부</t>
    <phoneticPr fontId="2" type="noConversion"/>
  </si>
  <si>
    <t xml:space="preserve">한결세무사 법인결산 </t>
    <phoneticPr fontId="2" type="noConversion"/>
  </si>
  <si>
    <t>월급날 이후 납부</t>
    <phoneticPr fontId="2" type="noConversion"/>
  </si>
  <si>
    <t xml:space="preserve">■발의일자 : 2021년     4 월   12  일                                                                                                                  </t>
    <phoneticPr fontId="2" type="noConversion"/>
  </si>
  <si>
    <t>금주 입금현황(4/5~4/9)</t>
    <phoneticPr fontId="2" type="noConversion"/>
  </si>
  <si>
    <t>금주 출금현황(4/5~4/9)</t>
    <phoneticPr fontId="2" type="noConversion"/>
  </si>
  <si>
    <t>4/6 입금완료</t>
    <phoneticPr fontId="2" type="noConversion"/>
  </si>
  <si>
    <t>우리은행출금</t>
    <phoneticPr fontId="2" type="noConversion"/>
  </si>
  <si>
    <t>무역 디지털 전환 대책 이행 관련 PMO용역</t>
    <phoneticPr fontId="2" type="noConversion"/>
  </si>
  <si>
    <t>4/7 입금완료</t>
    <phoneticPr fontId="2" type="noConversion"/>
  </si>
  <si>
    <t>신한은행 대출 이자납부</t>
    <phoneticPr fontId="2" type="noConversion"/>
  </si>
  <si>
    <t>신한은행 출금</t>
    <phoneticPr fontId="2" type="noConversion"/>
  </si>
  <si>
    <t xml:space="preserve"> EBS 초등고교 디자인 운영지원 _링인터랙티브</t>
    <phoneticPr fontId="2" type="noConversion"/>
  </si>
  <si>
    <t>4/9 입금완료</t>
    <phoneticPr fontId="2" type="noConversion"/>
  </si>
  <si>
    <t>농협카드대금 4월분</t>
  </si>
  <si>
    <t>신한은행 통장이체
(신한-&gt;농협이체)</t>
  </si>
  <si>
    <t>롯데카드 마이데이터 시스템 구축_채널 프론트 구축 선급금_뱅크</t>
    <phoneticPr fontId="2" type="noConversion"/>
  </si>
  <si>
    <t>얼마예요 3월분</t>
    <phoneticPr fontId="2" type="noConversion"/>
  </si>
  <si>
    <t>현대오토에버 현대건설 2월분 입금 (어음할인)</t>
    <phoneticPr fontId="2" type="noConversion"/>
  </si>
  <si>
    <t>피아이디스_무역 디지털 전환 대책 이행 관련 PMO용역</t>
    <phoneticPr fontId="2" type="noConversion"/>
  </si>
  <si>
    <t>5% 수수료 공제후 처리</t>
    <phoneticPr fontId="2" type="noConversion"/>
  </si>
  <si>
    <t>현대오토에버 엔지니어링 2월분 입금 (어음할인)</t>
    <phoneticPr fontId="2" type="noConversion"/>
  </si>
  <si>
    <t>현대오토에버 현대건설 3월분 입금 (어음할인)</t>
    <phoneticPr fontId="2" type="noConversion"/>
  </si>
  <si>
    <t>현대오토에버 엔지니어링 3월분 입금 (어음할인)</t>
    <phoneticPr fontId="2" type="noConversion"/>
  </si>
  <si>
    <t>생일기프티콘 발송 (윤지현 전임)</t>
    <phoneticPr fontId="2" type="noConversion"/>
  </si>
  <si>
    <t>본사 비상약 구매</t>
    <phoneticPr fontId="2" type="noConversion"/>
  </si>
  <si>
    <t>본사 문구류 구매 (에어캡, 클립, 박스테이프)</t>
    <phoneticPr fontId="2" type="noConversion"/>
  </si>
  <si>
    <t>제본 비용 (대표님 요청건)</t>
    <phoneticPr fontId="2" type="noConversion"/>
  </si>
  <si>
    <t>퀵발송 (유컴패니온-&gt; 광화문사무실, SK파견지 / 노트북3대, 모니터 4대 이동)</t>
    <phoneticPr fontId="2" type="noConversion"/>
  </si>
  <si>
    <t>우편발송 (2021년 1분기 부가가치세 자료)</t>
    <phoneticPr fontId="2" type="noConversion"/>
  </si>
  <si>
    <t>소프트웨어사업자 신고 연장 수수료</t>
    <phoneticPr fontId="2" type="noConversion"/>
  </si>
  <si>
    <t>차주 입금예정(4/12~4/16)</t>
    <phoneticPr fontId="2" type="noConversion"/>
  </si>
  <si>
    <t>차주 출금예정(4/12~4/16)</t>
    <phoneticPr fontId="2" type="noConversion"/>
  </si>
  <si>
    <t>힐스테이트 라피아노 삼송 분양</t>
    <phoneticPr fontId="2" type="noConversion"/>
  </si>
  <si>
    <t>4/15 예정</t>
    <phoneticPr fontId="2" type="noConversion"/>
  </si>
  <si>
    <t>SKT 아워365 운영 11월분 미수금</t>
    <phoneticPr fontId="2" type="noConversion"/>
  </si>
  <si>
    <t>이벤트비용 포함</t>
    <phoneticPr fontId="2" type="noConversion"/>
  </si>
  <si>
    <t xml:space="preserve">진학사 광운대 잔금 </t>
    <phoneticPr fontId="2" type="noConversion"/>
  </si>
  <si>
    <t>진학사 한경대 선금</t>
    <phoneticPr fontId="2" type="noConversion"/>
  </si>
  <si>
    <t>나이스평가정보 신용평가 갱신 수수료(민간+공공)</t>
    <phoneticPr fontId="2" type="noConversion"/>
  </si>
  <si>
    <t>4/16 예정</t>
    <phoneticPr fontId="2" type="noConversion"/>
  </si>
  <si>
    <t>나이스디앤비 신용평가 갱신 수수료(민간)</t>
    <phoneticPr fontId="2" type="noConversion"/>
  </si>
  <si>
    <t>벤처기업인증 확인서 연장 수수료</t>
    <phoneticPr fontId="2" type="noConversion"/>
  </si>
  <si>
    <t>카드결제</t>
    <phoneticPr fontId="2" type="noConversion"/>
  </si>
  <si>
    <t xml:space="preserve">■발의일자 : 2021년     4 월   19  일                                                                                                                  </t>
    <phoneticPr fontId="2" type="noConversion"/>
  </si>
  <si>
    <t>금주 입금현황(4/12~4/16)</t>
    <phoneticPr fontId="2" type="noConversion"/>
  </si>
  <si>
    <t>금주 출금현황(4/12~4/16)</t>
    <phoneticPr fontId="2" type="noConversion"/>
  </si>
  <si>
    <t>1년 미만자 퇴직금 반환 (한승연) - 퇴직연금</t>
    <phoneticPr fontId="2" type="noConversion"/>
  </si>
  <si>
    <t>4/12 입금완료</t>
    <phoneticPr fontId="2" type="noConversion"/>
  </si>
  <si>
    <t>4/13 입금완료</t>
    <phoneticPr fontId="2" type="noConversion"/>
  </si>
  <si>
    <t>4/15 입금완료</t>
    <phoneticPr fontId="2" type="noConversion"/>
  </si>
  <si>
    <t>역삼세무서 국고이체</t>
    <phoneticPr fontId="2" type="noConversion"/>
  </si>
  <si>
    <t>4/16 입금완료</t>
    <phoneticPr fontId="2" type="noConversion"/>
  </si>
  <si>
    <t>우리은행(주거래) 입금</t>
    <phoneticPr fontId="2" type="noConversion"/>
  </si>
  <si>
    <t>퀵 발송 (유컴패니온-&gt;중앙선거위원회 / 재직증명서, 보안서약서)</t>
    <phoneticPr fontId="2" type="noConversion"/>
  </si>
  <si>
    <t>퀵 발송 (SK파견지 -&gt;유컴패니온 / 장비교체로 인한 기존장비반납)</t>
    <phoneticPr fontId="2" type="noConversion"/>
  </si>
  <si>
    <t>택배발송 (이진경수석 비앤빛 명절선물 전달)</t>
    <phoneticPr fontId="2" type="noConversion"/>
  </si>
  <si>
    <t>소모품 구매 (데스크탑용 먼지제거제, 볼펜)</t>
    <phoneticPr fontId="2" type="noConversion"/>
  </si>
  <si>
    <t>맥북에어 2대 구매 (대표님, 박정운본부장)</t>
    <phoneticPr fontId="2" type="noConversion"/>
  </si>
  <si>
    <t>생일기프티콘 발송 (최윤희 수석)</t>
    <phoneticPr fontId="2" type="noConversion"/>
  </si>
  <si>
    <t>우편발송 (SK브로드밴드 구매처등록 서류)</t>
    <phoneticPr fontId="2" type="noConversion"/>
  </si>
  <si>
    <t>광화문 사무실 비품구매 
(멀티탭, 랜케이블, L자 파일, 펜,가위,클립,스테플러 등)</t>
    <phoneticPr fontId="2" type="noConversion"/>
  </si>
  <si>
    <t>광화문 사무실 비상약 구매</t>
    <phoneticPr fontId="2" type="noConversion"/>
  </si>
  <si>
    <t>본사 3층 비품구매 (커피,핸드타올, 루이보스차)</t>
    <phoneticPr fontId="2" type="noConversion"/>
  </si>
  <si>
    <t>광화문 사무실 비품 구매 ( 물티슈)</t>
    <phoneticPr fontId="2" type="noConversion"/>
  </si>
  <si>
    <t>퀵 발송 (유컴패니온-&gt;중앙선거위원회 / 모니터 2대, 노트북, 비품 등)</t>
    <phoneticPr fontId="2" type="noConversion"/>
  </si>
  <si>
    <t>차주 입금예정(4/19~4/23)</t>
    <phoneticPr fontId="2" type="noConversion"/>
  </si>
  <si>
    <t>차주 출금예정(4/19~4/23)</t>
    <phoneticPr fontId="2" type="noConversion"/>
  </si>
  <si>
    <t xml:space="preserve">LG하우시스 웹진 구축 선금 </t>
    <phoneticPr fontId="2" type="noConversion"/>
  </si>
  <si>
    <t>4/23 예정</t>
    <phoneticPr fontId="2" type="noConversion"/>
  </si>
  <si>
    <t>LG U+ 인터넷, 전화 4월분</t>
    <phoneticPr fontId="2" type="noConversion"/>
  </si>
  <si>
    <t xml:space="preserve">현대캐피탈 스탁론 3월분 </t>
    <phoneticPr fontId="2" type="noConversion"/>
  </si>
  <si>
    <t xml:space="preserve">SK 브로드밴드 4월분 </t>
    <phoneticPr fontId="2" type="noConversion"/>
  </si>
  <si>
    <t>세콤 5월분 (본사)</t>
    <phoneticPr fontId="2" type="noConversion"/>
  </si>
  <si>
    <t>신한카드 대금납부 (EBS, 경영기획팀, 권세희 책임)</t>
    <phoneticPr fontId="2" type="noConversion"/>
  </si>
  <si>
    <t>신한카드 대금납부 (박영일 이사님)</t>
    <phoneticPr fontId="2" type="noConversion"/>
  </si>
  <si>
    <t>우리블루카드 대금</t>
    <phoneticPr fontId="2" type="noConversion"/>
  </si>
  <si>
    <t>세콤 5월분 (광화문)</t>
    <phoneticPr fontId="2" type="noConversion"/>
  </si>
  <si>
    <t>코리아노무법인 4월 자문수수료</t>
    <phoneticPr fontId="2" type="noConversion"/>
  </si>
  <si>
    <t>대림비앤코 4월 렌탈료 (본사 3,4층 정수기, 비데)</t>
    <phoneticPr fontId="2" type="noConversion"/>
  </si>
  <si>
    <t>청호렌탈 4월 렌탈료 (광화문 정수기)</t>
    <phoneticPr fontId="2" type="noConversion"/>
  </si>
  <si>
    <t xml:space="preserve">■발의일자 : 2021년     4 월   26  일                                                                                                                  </t>
    <phoneticPr fontId="2" type="noConversion"/>
  </si>
  <si>
    <t>금주 입금현황(4/19~4/23)</t>
    <phoneticPr fontId="2" type="noConversion"/>
  </si>
  <si>
    <t>금주 출금현황(4/19~4/23)</t>
    <phoneticPr fontId="2" type="noConversion"/>
  </si>
  <si>
    <t>EBS 공교육지원 인터넷서비스 운영 3월</t>
    <phoneticPr fontId="2" type="noConversion"/>
  </si>
  <si>
    <t>4/20 입금완료</t>
    <phoneticPr fontId="2" type="noConversion"/>
  </si>
  <si>
    <t>강의실 대여료 (UX 강의)</t>
    <phoneticPr fontId="2" type="noConversion"/>
  </si>
  <si>
    <t>2019 EBS 패밀리사이트 통합 운영사업 2월분</t>
    <phoneticPr fontId="2" type="noConversion"/>
  </si>
  <si>
    <t>농협은행 대출이자 납부</t>
    <phoneticPr fontId="2" type="noConversion"/>
  </si>
  <si>
    <t>2019 EBS 패밀리사이트 통합 운영사업 3월분</t>
    <phoneticPr fontId="2" type="noConversion"/>
  </si>
  <si>
    <t>SK파견지 경비 입금 2회차</t>
    <phoneticPr fontId="2" type="noConversion"/>
  </si>
  <si>
    <t>신한은행 통장이체
(신한-&gt;우리(SK파견지)이체)</t>
    <phoneticPr fontId="2" type="noConversion"/>
  </si>
  <si>
    <t>힐스테이트 만촌 엘퍼스트 분양사이트 제작 및 관리대행</t>
    <phoneticPr fontId="2" type="noConversion"/>
  </si>
  <si>
    <t>4/21 입금완료</t>
    <phoneticPr fontId="2" type="noConversion"/>
  </si>
  <si>
    <t>신한은행 통장이체
(신한-&gt;우리(주거래)이체)</t>
    <phoneticPr fontId="2" type="noConversion"/>
  </si>
  <si>
    <t>4/23 입금완료</t>
    <phoneticPr fontId="2" type="noConversion"/>
  </si>
  <si>
    <t>힐스테이트 대명 센트럴 분양사이트 제작 및 관리대행 외 업무</t>
    <phoneticPr fontId="2" type="noConversion"/>
  </si>
  <si>
    <t>일학습병행제 전담수당 11월분</t>
    <phoneticPr fontId="2" type="noConversion"/>
  </si>
  <si>
    <t>우리은행(일학습) 입금</t>
    <phoneticPr fontId="2" type="noConversion"/>
  </si>
  <si>
    <t>일학습병행제 전담수당 12월분</t>
  </si>
  <si>
    <t>기업은행 이자수익</t>
    <phoneticPr fontId="2" type="noConversion"/>
  </si>
  <si>
    <t>4/19 입금완료</t>
    <phoneticPr fontId="2" type="noConversion"/>
  </si>
  <si>
    <t>계약이행증권발행 (애큐온저축은행 - 권장미 연장계약)</t>
    <phoneticPr fontId="2" type="noConversion"/>
  </si>
  <si>
    <t>우편발송 (선관위-계약서류)</t>
    <phoneticPr fontId="2" type="noConversion"/>
  </si>
  <si>
    <t>우편발송 (선관위-계약서, 애큐온 - 계약서)</t>
    <phoneticPr fontId="2" type="noConversion"/>
  </si>
  <si>
    <t>생일기프티콘 발송 (장은진 전임)</t>
    <phoneticPr fontId="2" type="noConversion"/>
  </si>
  <si>
    <t>퀵 발송 (SK파견지 -&gt; 신한 명동금융센터 / 법인인감 발송)</t>
    <phoneticPr fontId="2" type="noConversion"/>
  </si>
  <si>
    <t>택시비 (본사 -&gt; 신한 명동금융센터 / 나라장터 하도급지킴이 통장긴급생성 건)</t>
    <phoneticPr fontId="2" type="noConversion"/>
  </si>
  <si>
    <t>도메인 1년 연장 (ucomp.co.kr)</t>
    <phoneticPr fontId="2" type="noConversion"/>
  </si>
  <si>
    <t>선급금이행증권발행 (선관위 )</t>
    <phoneticPr fontId="2" type="noConversion"/>
  </si>
  <si>
    <t>제플린 4월 사용료 (29달러)</t>
    <phoneticPr fontId="2" type="noConversion"/>
  </si>
  <si>
    <t>어도비 4월 사용료</t>
    <phoneticPr fontId="2" type="noConversion"/>
  </si>
  <si>
    <t>생일기프티콘 발송 (김지해 책임)</t>
    <phoneticPr fontId="2" type="noConversion"/>
  </si>
  <si>
    <t>비품 구매 (법인통장 정리집, 건전지)</t>
    <phoneticPr fontId="2" type="noConversion"/>
  </si>
  <si>
    <t>우편발송 (쌍용정보통신 - 계약서)</t>
    <phoneticPr fontId="2" type="noConversion"/>
  </si>
  <si>
    <t>우편발송 (진학어플라이 미수금 내역건 - 세무사사무실)</t>
    <phoneticPr fontId="2" type="noConversion"/>
  </si>
  <si>
    <t>복리후생비 (3,4층 직원 간식 구매)</t>
    <phoneticPr fontId="2" type="noConversion"/>
  </si>
  <si>
    <t>생일기프티콘 발송 (오문석 전임)</t>
    <phoneticPr fontId="2" type="noConversion"/>
  </si>
  <si>
    <t>차주 입금예정(4/26~4/30)</t>
    <phoneticPr fontId="2" type="noConversion"/>
  </si>
  <si>
    <t>차주 출금예정(4/26~4/30)</t>
    <phoneticPr fontId="2" type="noConversion"/>
  </si>
  <si>
    <t>2021년 1기 부가가치세 분할납부</t>
    <phoneticPr fontId="2" type="noConversion"/>
  </si>
  <si>
    <t xml:space="preserve">아이온(LGCNS) 3월분 </t>
    <phoneticPr fontId="2" type="noConversion"/>
  </si>
  <si>
    <t>4/25 예정</t>
    <phoneticPr fontId="2" type="noConversion"/>
  </si>
  <si>
    <t>덕윤빌딩 - 임대료 4월분(3층, 4층)</t>
    <phoneticPr fontId="2" type="noConversion"/>
  </si>
  <si>
    <t xml:space="preserve">천조 SKT아워365 12월분 미수금 </t>
    <phoneticPr fontId="2" type="noConversion"/>
  </si>
  <si>
    <t>월말예정</t>
    <phoneticPr fontId="2" type="noConversion"/>
  </si>
  <si>
    <t>로얄빌딩 - 4월 관리비, 시스템난방청소비</t>
    <phoneticPr fontId="2" type="noConversion"/>
  </si>
  <si>
    <t xml:space="preserve">애큐온(손효주,권장미) 3월 </t>
    <phoneticPr fontId="2" type="noConversion"/>
  </si>
  <si>
    <t>로얄빌딩 김승택 - 4월 임대료</t>
    <phoneticPr fontId="2" type="noConversion"/>
  </si>
  <si>
    <t>중랑구청 운영 4월분</t>
    <phoneticPr fontId="2" type="noConversion"/>
  </si>
  <si>
    <t>로얄빌딩 김태훈 - 4월 임대료</t>
    <phoneticPr fontId="2" type="noConversion"/>
  </si>
  <si>
    <t xml:space="preserve">선관위 하도급계약 선금 </t>
    <phoneticPr fontId="2" type="noConversion"/>
  </si>
  <si>
    <t>신도디지털OA - 신도OA 복합기 4월사용료</t>
    <phoneticPr fontId="2" type="noConversion"/>
  </si>
  <si>
    <t xml:space="preserve">SK마이서니 4월분 </t>
    <phoneticPr fontId="2" type="noConversion"/>
  </si>
  <si>
    <t>한결세무사 - 4월분 기장료</t>
    <phoneticPr fontId="2" type="noConversion"/>
  </si>
  <si>
    <t>" (미발행)</t>
    <phoneticPr fontId="2" type="noConversion"/>
  </si>
  <si>
    <t>한결세무사 - 법인 결산수수료</t>
    <phoneticPr fontId="2" type="noConversion"/>
  </si>
  <si>
    <t>더좋은환경 - 4월 청소비</t>
    <phoneticPr fontId="2" type="noConversion"/>
  </si>
  <si>
    <t>파이브링크 - 힐스테이트 유지보수 운영 2월분</t>
    <phoneticPr fontId="2" type="noConversion"/>
  </si>
  <si>
    <t>날리지큐브 - 힐스테이트 유지보수 니어서비스 4월분</t>
    <phoneticPr fontId="2" type="noConversion"/>
  </si>
  <si>
    <t>이노페이스 - 힐스테이트 대명 센트럴,리슈빌 강일, 감천1 트리풀시티 VR촬영건</t>
    <phoneticPr fontId="2" type="noConversion"/>
  </si>
  <si>
    <t>미래 IT - 4월 일산, 본사.광화문 장비임대건 및 EBS장비 업그레이드</t>
    <phoneticPr fontId="2" type="noConversion"/>
  </si>
  <si>
    <t>한국렌탈 - 4월 삼성 노트북, LG 모니터 임대료 (10대)</t>
    <phoneticPr fontId="2" type="noConversion"/>
  </si>
  <si>
    <t>다인스케치 - 4월 명함제작 건</t>
    <phoneticPr fontId="2" type="noConversion"/>
  </si>
  <si>
    <t>라노스가구 - 광화문사무실 파티션,책상,의자 비용</t>
    <phoneticPr fontId="2" type="noConversion"/>
  </si>
  <si>
    <t>마크로밀엠브레인 - 마이데이터 활용에 대한 소비자 조사</t>
    <phoneticPr fontId="2" type="noConversion"/>
  </si>
  <si>
    <t>최유미 선임 경조사비 지급</t>
    <phoneticPr fontId="2" type="noConversion"/>
  </si>
  <si>
    <t>배성환 - UX 전체교육 강의비 (4월16일 진행)</t>
    <phoneticPr fontId="2" type="noConversion"/>
  </si>
  <si>
    <t>퇴직연금 3월분 미납분</t>
    <phoneticPr fontId="2" type="noConversion"/>
  </si>
  <si>
    <t>미래에셋 - 보험료 3월분 미납분</t>
    <phoneticPr fontId="2" type="noConversion"/>
  </si>
  <si>
    <t>법인결산 지방세</t>
    <phoneticPr fontId="2" type="noConversion"/>
  </si>
  <si>
    <t>현창하 - 개인업무용 노트북 구매비지급</t>
    <phoneticPr fontId="2" type="noConversion"/>
  </si>
  <si>
    <t>조완섭 - 야근식대, 야근택시비</t>
    <phoneticPr fontId="2" type="noConversion"/>
  </si>
  <si>
    <t>윤지현 - 주말식대, 야근식대</t>
    <phoneticPr fontId="2" type="noConversion"/>
  </si>
  <si>
    <t>박가영 - 야근식대</t>
    <phoneticPr fontId="2" type="noConversion"/>
  </si>
  <si>
    <t>피아영 - 야근식대</t>
    <phoneticPr fontId="2" type="noConversion"/>
  </si>
  <si>
    <t>이의정 - 야근식대</t>
    <phoneticPr fontId="2" type="noConversion"/>
  </si>
  <si>
    <t>이승환 - 야근식대</t>
    <phoneticPr fontId="2" type="noConversion"/>
  </si>
  <si>
    <t>정규웅 - 야근식대</t>
    <phoneticPr fontId="2" type="noConversion"/>
  </si>
  <si>
    <t>이유정 - 야근식대, SK브로드밴드 제안서 출력 및 제본비용</t>
    <phoneticPr fontId="2" type="noConversion"/>
  </si>
  <si>
    <t>권세희 - 내부직원 소통비, 야근식대</t>
    <phoneticPr fontId="2" type="noConversion"/>
  </si>
  <si>
    <t>최정후 - 주말식대, 야근교통비</t>
    <phoneticPr fontId="2" type="noConversion"/>
  </si>
  <si>
    <t>배서윤 - 야근교통비</t>
    <phoneticPr fontId="2" type="noConversion"/>
  </si>
  <si>
    <t>강성지 - 야근교통비</t>
    <phoneticPr fontId="2" type="noConversion"/>
  </si>
  <si>
    <t>박찬호 - 야근식대, 주말식대, 등기발송</t>
    <phoneticPr fontId="2" type="noConversion"/>
  </si>
  <si>
    <t>남은수 - 야근식대, 등기발송</t>
    <phoneticPr fontId="2" type="noConversion"/>
  </si>
  <si>
    <t>4월 경비사용 - 권세희 책임</t>
    <phoneticPr fontId="2" type="noConversion"/>
  </si>
  <si>
    <t>4월 경비사용 - 박정운 본부장</t>
    <phoneticPr fontId="2" type="noConversion"/>
  </si>
  <si>
    <t>4월 경비사용 - 경영기획팀</t>
    <phoneticPr fontId="2" type="noConversion"/>
  </si>
  <si>
    <t>4월 경비사용 - EBS 운영팀</t>
    <phoneticPr fontId="2" type="noConversion"/>
  </si>
  <si>
    <t xml:space="preserve">■발의일자 : 2021년     5 월   3  일                                                                                                                  </t>
    <phoneticPr fontId="2" type="noConversion"/>
  </si>
  <si>
    <t>금주 입금현황(4/26~4/30)</t>
    <phoneticPr fontId="2" type="noConversion"/>
  </si>
  <si>
    <t>금주 출금현황(4/26~4/30)</t>
    <phoneticPr fontId="2" type="noConversion"/>
  </si>
  <si>
    <t>4/26 입금완료</t>
    <phoneticPr fontId="2" type="noConversion"/>
  </si>
  <si>
    <t>4/30 입금완료</t>
    <phoneticPr fontId="2" type="noConversion"/>
  </si>
  <si>
    <t>우리(주거래) 입금</t>
    <phoneticPr fontId="2" type="noConversion"/>
  </si>
  <si>
    <t xml:space="preserve">일학습병행제 훈련비 </t>
    <phoneticPr fontId="2" type="noConversion"/>
  </si>
  <si>
    <t>4/29 입금완료</t>
    <phoneticPr fontId="2" type="noConversion"/>
  </si>
  <si>
    <t>우리(일학습) 입금</t>
    <phoneticPr fontId="2" type="noConversion"/>
  </si>
  <si>
    <t>애큐온 저축은행 3월분 (권장미)</t>
    <phoneticPr fontId="2" type="noConversion"/>
  </si>
  <si>
    <t>애큐온 저축은행 3월분 (손효주)</t>
    <phoneticPr fontId="2" type="noConversion"/>
  </si>
  <si>
    <t>우리(주거래) 이체</t>
    <phoneticPr fontId="2" type="noConversion"/>
  </si>
  <si>
    <t>일학습병행제 전담수당 11월분 - 한수진</t>
    <phoneticPr fontId="2" type="noConversion"/>
  </si>
  <si>
    <t>우리(일학습) 이체</t>
    <phoneticPr fontId="2" type="noConversion"/>
  </si>
  <si>
    <t>일학습병행제 전담수당 11월분 - 김현정</t>
    <phoneticPr fontId="2" type="noConversion"/>
  </si>
  <si>
    <t>일학습병행제 전담수당 12월분 - 한수진</t>
    <phoneticPr fontId="2" type="noConversion"/>
  </si>
  <si>
    <t>일학습병행제 전담수당 12월분 - 김현정</t>
    <phoneticPr fontId="2" type="noConversion"/>
  </si>
  <si>
    <t>법인카드 사용내역</t>
    <phoneticPr fontId="2" type="noConversion"/>
  </si>
  <si>
    <t>우편발송 (뱅크웨어글로벌 - 라인뱅크)</t>
    <phoneticPr fontId="2" type="noConversion"/>
  </si>
  <si>
    <t>법인카드 사용분 (경영기획)</t>
    <phoneticPr fontId="2" type="noConversion"/>
  </si>
  <si>
    <t>우편발송 (박소영 수석 - 연봉계약서, 프리랜서 계약서)</t>
    <phoneticPr fontId="2" type="noConversion"/>
  </si>
  <si>
    <t>컨플루언스, 지라 4월 사용료 (1,929,40 달러)</t>
    <phoneticPr fontId="2" type="noConversion"/>
  </si>
  <si>
    <t>직접생산증명서 연장 수수료</t>
    <phoneticPr fontId="2" type="noConversion"/>
  </si>
  <si>
    <t>도메인 1달 연장 (SKTelecom CONNECT+ 개발서버)</t>
    <phoneticPr fontId="2" type="noConversion"/>
  </si>
  <si>
    <t>비품 구매 (대표님 - 마우스)</t>
    <phoneticPr fontId="2" type="noConversion"/>
  </si>
  <si>
    <t>생일 기프티콘 발송 (박종현 수석)</t>
    <phoneticPr fontId="2" type="noConversion"/>
  </si>
  <si>
    <t>근로자의 날 기프티콘 발송 (103명)</t>
    <phoneticPr fontId="2" type="noConversion"/>
  </si>
  <si>
    <t>차주 입금예정(5/3~5/7)</t>
    <phoneticPr fontId="2" type="noConversion"/>
  </si>
  <si>
    <t>차주 출금예정(5/3~5/7)</t>
    <phoneticPr fontId="2" type="noConversion"/>
  </si>
  <si>
    <t>1년 미만자 퇴직금 반환 (채수형) - 퇴직연금</t>
    <phoneticPr fontId="2" type="noConversion"/>
  </si>
  <si>
    <t>5/3 입금완료</t>
    <phoneticPr fontId="2" type="noConversion"/>
  </si>
  <si>
    <t>5/10 예정</t>
    <phoneticPr fontId="2" type="noConversion"/>
  </si>
  <si>
    <t>우리카드대금 5월분</t>
    <phoneticPr fontId="2" type="noConversion"/>
  </si>
  <si>
    <t>LG하우시스 웹진구축 선금</t>
    <phoneticPr fontId="2" type="noConversion"/>
  </si>
  <si>
    <t>SK 텔레콤 - our365 4월분</t>
    <phoneticPr fontId="2" type="noConversion"/>
  </si>
  <si>
    <t>우리카드대금 5월분(후불하이패스)</t>
    <phoneticPr fontId="2" type="noConversion"/>
  </si>
  <si>
    <t>농협카드대금 5월분</t>
    <phoneticPr fontId="2" type="noConversion"/>
  </si>
  <si>
    <t>얼마예요 4월분</t>
    <phoneticPr fontId="2" type="noConversion"/>
  </si>
  <si>
    <t xml:space="preserve">mySUNI 신임리더과정 커뮤니티 HTML 제작 </t>
    <phoneticPr fontId="2" type="noConversion"/>
  </si>
  <si>
    <t>4월분 직원급여</t>
  </si>
  <si>
    <t>LG하우시스 웹진 구축 중도금 (5/7 청구예정)</t>
    <phoneticPr fontId="2" type="noConversion"/>
  </si>
  <si>
    <t>박영일 - 4월 프리급여 (본사-개발이사)</t>
  </si>
  <si>
    <t>씨젠 오버컴 잔금 (5월 초 청구예정)</t>
    <phoneticPr fontId="2" type="noConversion"/>
  </si>
  <si>
    <t>나연수 - 4월 프리급여 (본사)</t>
  </si>
  <si>
    <t>씨젠 SG잔금 (5월 초 청구예정)</t>
    <phoneticPr fontId="2" type="noConversion"/>
  </si>
  <si>
    <t>김대훈 - 4월 프리급여 (본사)</t>
  </si>
  <si>
    <t>라인뱅크 1차 중도금 (4월말 검수 후 청구예정 -미정)</t>
    <phoneticPr fontId="2" type="noConversion"/>
  </si>
  <si>
    <t>채지은 - 4월 프리급여 (본사)</t>
    <phoneticPr fontId="2" type="noConversion"/>
  </si>
  <si>
    <t>조찬기 - 4월 프리급여 (본사)</t>
    <phoneticPr fontId="2" type="noConversion"/>
  </si>
  <si>
    <t>이송하 - 4월 프리급여 (EBS 운영)</t>
  </si>
  <si>
    <t>박소영 - 4월 프리급여 (EBS 운영)</t>
  </si>
  <si>
    <t>4월 말 종료 후 정규직 전환</t>
    <phoneticPr fontId="2" type="noConversion"/>
  </si>
  <si>
    <t>손효주 - 4월 프리급여 (애큐온저축은행)</t>
  </si>
  <si>
    <t>박지훈 - 4월 프리급여 (SK)</t>
  </si>
  <si>
    <t>4월30일 종료</t>
    <phoneticPr fontId="2" type="noConversion"/>
  </si>
  <si>
    <t>김승호 - 4월 프리급여(SK)</t>
  </si>
  <si>
    <t>강연웅 - 4월 프리급여(SK)</t>
  </si>
  <si>
    <t>이병운 - 4월 프리급여 (SK)</t>
  </si>
  <si>
    <t>이우진 - 4월 프리급여 (현대캐피탈)</t>
  </si>
  <si>
    <t>옥미영 - 4월 프리급여 (현대캐피탈)</t>
  </si>
  <si>
    <t>유수현 - 4월 프리급여 (롯데카드)</t>
    <phoneticPr fontId="2" type="noConversion"/>
  </si>
  <si>
    <t>4월15일 투입
5,500,000원 중 16일 일할계산</t>
    <phoneticPr fontId="2" type="noConversion"/>
  </si>
  <si>
    <t>오은정 - 4월 프리급여 (롯데카드)</t>
    <phoneticPr fontId="2" type="noConversion"/>
  </si>
  <si>
    <t>4월15일 투입
8,000,000원 중 16일 일할계산</t>
    <phoneticPr fontId="2" type="noConversion"/>
  </si>
  <si>
    <t>제이플러스파트너즈 - LG CNS김동민 (4월분)</t>
  </si>
  <si>
    <t>미소나무 - SK마이서니 외주 개발인력 (4월분)</t>
  </si>
  <si>
    <t>4월 말 종료</t>
    <phoneticPr fontId="2" type="noConversion"/>
  </si>
  <si>
    <t>플랜디(김선영) - 롯데카드 기획인력 (4월분)</t>
  </si>
  <si>
    <t>4월분 건강보험료</t>
  </si>
  <si>
    <t>4월분 연금보험료</t>
  </si>
  <si>
    <t>4월분 고용보험료</t>
  </si>
  <si>
    <t>4월분 산재보험료</t>
  </si>
  <si>
    <t>퇴직연금 4월분</t>
  </si>
  <si>
    <t>미래에셋 보험료 4월분</t>
  </si>
  <si>
    <t xml:space="preserve">■발의일자 : 2021년     5 월   10  일                                                                                                                  </t>
    <phoneticPr fontId="2" type="noConversion"/>
  </si>
  <si>
    <t>금주 입금현황(5/3~5/7)</t>
    <phoneticPr fontId="2" type="noConversion"/>
  </si>
  <si>
    <t>5/7 입금완료</t>
    <phoneticPr fontId="2" type="noConversion"/>
  </si>
  <si>
    <t>롯데카드 경비 입금</t>
    <phoneticPr fontId="2" type="noConversion"/>
  </si>
  <si>
    <t>신한은행 통장이체
(신한-&gt;우리이체)</t>
    <phoneticPr fontId="2" type="noConversion"/>
  </si>
  <si>
    <t>대표님 가수금 입금</t>
    <phoneticPr fontId="2" type="noConversion"/>
  </si>
  <si>
    <t>라인뱅크 경비 입금</t>
    <phoneticPr fontId="2" type="noConversion"/>
  </si>
  <si>
    <t>조영일감사님 단기차입금 입금</t>
    <phoneticPr fontId="2" type="noConversion"/>
  </si>
  <si>
    <t>선관위 경비 입금</t>
    <phoneticPr fontId="2" type="noConversion"/>
  </si>
  <si>
    <t>우리(일학습)입금</t>
    <phoneticPr fontId="2" type="noConversion"/>
  </si>
  <si>
    <t>일학습병행제 전담인력수당 1월분</t>
    <phoneticPr fontId="2" type="noConversion"/>
  </si>
  <si>
    <t>5/4 입금완료</t>
    <phoneticPr fontId="2" type="noConversion"/>
  </si>
  <si>
    <t>일학습병행제 전담인력수당 2월분</t>
  </si>
  <si>
    <t>기업은행 이체수수료 (천조 11월분 신한은행 이체)</t>
    <phoneticPr fontId="2" type="noConversion"/>
  </si>
  <si>
    <t>기업은행 출금</t>
    <phoneticPr fontId="2" type="noConversion"/>
  </si>
  <si>
    <t>신한은행 한도대출 이자 납부</t>
    <phoneticPr fontId="2" type="noConversion"/>
  </si>
  <si>
    <t>스케치 5월 사용료 (45달러)</t>
    <phoneticPr fontId="2" type="noConversion"/>
  </si>
  <si>
    <t>법인카드 사용분</t>
    <phoneticPr fontId="2" type="noConversion"/>
  </si>
  <si>
    <t>오피스 365 5월 선납분, 4월 추가분</t>
    <phoneticPr fontId="2" type="noConversion"/>
  </si>
  <si>
    <t>잡코리아 인재검색 서칭서비스 350건 수수료</t>
    <phoneticPr fontId="2" type="noConversion"/>
  </si>
  <si>
    <t>사람인 채용할 직무 무제한 등록 60일 건 수수료</t>
    <phoneticPr fontId="2" type="noConversion"/>
  </si>
  <si>
    <t>본사 4층 비품 구매 (USB to HDMI, 맥심모카골드, 물티슈, A4용지, 핸드타올, 점보롤휴지)</t>
    <phoneticPr fontId="2" type="noConversion"/>
  </si>
  <si>
    <t>퀵 발송 (유컴패니온 -&gt; 선관위 / 경비 체크카드)</t>
    <phoneticPr fontId="2" type="noConversion"/>
  </si>
  <si>
    <t>퀵 발송 (유컴패니온 -&gt; 라인뱅크 / 경비 체크카드)</t>
    <phoneticPr fontId="2" type="noConversion"/>
  </si>
  <si>
    <t>계약이행증권 발행 (선관위)</t>
    <phoneticPr fontId="2" type="noConversion"/>
  </si>
  <si>
    <t>선급금이행증권 발행 (선관위)</t>
    <phoneticPr fontId="2" type="noConversion"/>
  </si>
  <si>
    <t xml:space="preserve">게티이미지뱅크 1년 연장 </t>
    <phoneticPr fontId="2" type="noConversion"/>
  </si>
  <si>
    <t>차주 입금예정(5/10~5/14)</t>
    <phoneticPr fontId="2" type="noConversion"/>
  </si>
  <si>
    <t>차주 출금예정(5/10~5/14)</t>
    <phoneticPr fontId="2" type="noConversion"/>
  </si>
  <si>
    <t>5/10 입금완료</t>
    <phoneticPr fontId="2" type="noConversion"/>
  </si>
  <si>
    <t xml:space="preserve">지능형선거범죄대응시스템 구축 - 조사/단속시스템 업무현황 구축 부문 선금 </t>
    <phoneticPr fontId="2" type="noConversion"/>
  </si>
  <si>
    <t xml:space="preserve">지능형 선거 범죄 대응시스템 -조사단속통합관리시스템 건 외 선금 </t>
    <phoneticPr fontId="2" type="noConversion"/>
  </si>
  <si>
    <t>4월말 종료</t>
  </si>
  <si>
    <t xml:space="preserve">■발의일자 : 2021년     5 월   14  일                                                                                                                  </t>
    <phoneticPr fontId="2" type="noConversion"/>
  </si>
  <si>
    <t>금주 입금현황(5/10~5/14)</t>
    <phoneticPr fontId="2" type="noConversion"/>
  </si>
  <si>
    <t>한경화 단기차입금</t>
    <phoneticPr fontId="2" type="noConversion"/>
  </si>
  <si>
    <t>EBS 공교육지원 인터넷서비스 운영 4월 -쌍용정보통신</t>
    <phoneticPr fontId="2" type="noConversion"/>
  </si>
  <si>
    <t>5/14 입금완료</t>
    <phoneticPr fontId="2" type="noConversion"/>
  </si>
  <si>
    <t xml:space="preserve">진학사 한양대학교 입학홍보사이트 재구축 중도금 </t>
    <phoneticPr fontId="2" type="noConversion"/>
  </si>
  <si>
    <t>진학사 세종대학교 입학사이트 유지보수 및 신청페이지 유지관리 잔금</t>
    <phoneticPr fontId="2" type="noConversion"/>
  </si>
  <si>
    <t>박승철 - 4월 프리급여 (현대캐피탈)</t>
    <phoneticPr fontId="2" type="noConversion"/>
  </si>
  <si>
    <t>4월 1일 투입</t>
    <phoneticPr fontId="2" type="noConversion"/>
  </si>
  <si>
    <t>신한은행 대출 이자비용</t>
    <phoneticPr fontId="2" type="noConversion"/>
  </si>
  <si>
    <t>신한은행 금융거래확인서 발급 수수료비용</t>
    <phoneticPr fontId="2" type="noConversion"/>
  </si>
  <si>
    <t>우리은행 금융거래확인서 발급 수수료비용</t>
    <phoneticPr fontId="2" type="noConversion"/>
  </si>
  <si>
    <t>우리은행 출금</t>
    <phoneticPr fontId="2" type="noConversion"/>
  </si>
  <si>
    <t>농협은행 금융거래확인서 발급 수수료비용</t>
    <phoneticPr fontId="2" type="noConversion"/>
  </si>
  <si>
    <t>농협은행 출금</t>
    <phoneticPr fontId="2" type="noConversion"/>
  </si>
  <si>
    <t>퀵 발송 ( 매봉사무실 -&gt; 광화문 사무실 / 전략사업본부 신규입사자 장비 )</t>
    <phoneticPr fontId="2" type="noConversion"/>
  </si>
  <si>
    <t>생일기프티콘 발송 (이관금 책임)</t>
    <phoneticPr fontId="2" type="noConversion"/>
  </si>
  <si>
    <t>실적증명서 발급 (SH 공사)</t>
    <phoneticPr fontId="2" type="noConversion"/>
  </si>
  <si>
    <t>우편발송 (애큐온저축은행 - 박은숙님 계약서)</t>
    <phoneticPr fontId="2" type="noConversion"/>
  </si>
  <si>
    <t>생일기프티콘 발송 (이우진 수석)</t>
    <phoneticPr fontId="2" type="noConversion"/>
  </si>
  <si>
    <t>차주 입금예정(5/17~5/21)</t>
    <phoneticPr fontId="2" type="noConversion"/>
  </si>
  <si>
    <t>차주 출금예정(5/17~5/21)</t>
    <phoneticPr fontId="2" type="noConversion"/>
  </si>
  <si>
    <t>농협대출 이자 납부</t>
    <phoneticPr fontId="2" type="noConversion"/>
  </si>
  <si>
    <t>농협은행</t>
    <phoneticPr fontId="2" type="noConversion"/>
  </si>
  <si>
    <t xml:space="preserve">■발의일자 : 2021년     5 월   24  일                                                                                                                  </t>
    <phoneticPr fontId="2" type="noConversion"/>
  </si>
  <si>
    <t>금주 입금현황(5/17~5/21)</t>
    <phoneticPr fontId="2" type="noConversion"/>
  </si>
  <si>
    <t>금주 출금현황(5/17~5/21)</t>
    <phoneticPr fontId="2" type="noConversion"/>
  </si>
  <si>
    <t>기업은행</t>
    <phoneticPr fontId="2" type="noConversion"/>
  </si>
  <si>
    <t>신한카드 5월분 선납 결제</t>
    <phoneticPr fontId="2" type="noConversion"/>
  </si>
  <si>
    <t>금융거래확인서 발급 (신한은행)</t>
    <phoneticPr fontId="2" type="noConversion"/>
  </si>
  <si>
    <t xml:space="preserve">SK 브로드밴드 5월분 </t>
    <phoneticPr fontId="2" type="noConversion"/>
  </si>
  <si>
    <t>세콤 6월분 (본사)</t>
    <phoneticPr fontId="2" type="noConversion"/>
  </si>
  <si>
    <t>금융거래확인서 발급 (우리은행)</t>
    <phoneticPr fontId="2" type="noConversion"/>
  </si>
  <si>
    <t>우리은행(주거래) 출금</t>
    <phoneticPr fontId="2" type="noConversion"/>
  </si>
  <si>
    <t>금융거래확인서 발급 (농협은행)</t>
    <phoneticPr fontId="2" type="noConversion"/>
  </si>
  <si>
    <t>우편발송 (밸류시스 - 계약변경합의서)</t>
    <phoneticPr fontId="2" type="noConversion"/>
  </si>
  <si>
    <t>우편발송 (비상교육 - 계약이행증권 발행)</t>
    <phoneticPr fontId="2" type="noConversion"/>
  </si>
  <si>
    <t>계약이행증권 발행 (SKBB)</t>
    <phoneticPr fontId="2" type="noConversion"/>
  </si>
  <si>
    <t>계약이행증권 발행 (비상 마스터K-B2B 추가계약 )</t>
    <phoneticPr fontId="2" type="noConversion"/>
  </si>
  <si>
    <t>퀵 발송 (유컴패니온-&gt; 비상교육 / 계약서)</t>
    <phoneticPr fontId="2" type="noConversion"/>
  </si>
  <si>
    <t xml:space="preserve">잡코리아 인재서칭 서비스 </t>
    <phoneticPr fontId="2" type="noConversion"/>
  </si>
  <si>
    <t>우편발송 (비상교육 - 계약이행증권 재발송)</t>
    <phoneticPr fontId="2" type="noConversion"/>
  </si>
  <si>
    <t>생일기프티콘 발송 (최정후 수석)</t>
    <phoneticPr fontId="2" type="noConversion"/>
  </si>
  <si>
    <t>계약이행증권 발행 (비상 마스터K-B2B 추가계약  )</t>
    <phoneticPr fontId="2" type="noConversion"/>
  </si>
  <si>
    <t>금액변동으로 마이너스</t>
    <phoneticPr fontId="2" type="noConversion"/>
  </si>
  <si>
    <t>제플린 5월 사용분 (29달러)</t>
    <phoneticPr fontId="2" type="noConversion"/>
  </si>
  <si>
    <t>어도비 5월 사용분</t>
    <phoneticPr fontId="2" type="noConversion"/>
  </si>
  <si>
    <t>생일기프티콘 발송 (최지수전임)</t>
    <phoneticPr fontId="2" type="noConversion"/>
  </si>
  <si>
    <t>부고화환 발송 (오애순수석 시부상)</t>
    <phoneticPr fontId="2" type="noConversion"/>
  </si>
  <si>
    <t>차주 입금예정(5/24~5/28)</t>
    <phoneticPr fontId="2" type="noConversion"/>
  </si>
  <si>
    <t>차주 출금예정(5/24~5/28)</t>
    <phoneticPr fontId="2" type="noConversion"/>
  </si>
  <si>
    <t>LG U+ 인터넷, 전화 5월분</t>
    <phoneticPr fontId="2" type="noConversion"/>
  </si>
  <si>
    <t>세콤 6월분 (광화문)</t>
    <phoneticPr fontId="2" type="noConversion"/>
  </si>
  <si>
    <t>코리아노무법인 5월 자문수수료</t>
    <phoneticPr fontId="2" type="noConversion"/>
  </si>
  <si>
    <t>대림비앤코 5월 렌탈료 (본사 3,4층 정수기, 비데)</t>
    <phoneticPr fontId="2" type="noConversion"/>
  </si>
  <si>
    <t>청호렌탈 5월 렌탈료 (광화문 정수기)</t>
    <phoneticPr fontId="2" type="noConversion"/>
  </si>
  <si>
    <t>부가가치세 납부 (2021년 1분기)</t>
    <phoneticPr fontId="2" type="noConversion"/>
  </si>
  <si>
    <t>일자리 안정자금 환수(신유진)</t>
    <phoneticPr fontId="2" type="noConversion"/>
  </si>
  <si>
    <t>한경화님 단기창비금</t>
    <phoneticPr fontId="2" type="noConversion"/>
  </si>
  <si>
    <t>로얄빌딩 5층 계약금 및 잔금</t>
    <phoneticPr fontId="2" type="noConversion"/>
  </si>
  <si>
    <t/>
  </si>
  <si>
    <t xml:space="preserve">■발의일자 : 2021년     5 월   31  일                                                                                                                  </t>
    <phoneticPr fontId="2" type="noConversion"/>
  </si>
  <si>
    <t>금주 입금현황(5/24~5/28)</t>
    <phoneticPr fontId="2" type="noConversion"/>
  </si>
  <si>
    <t>금주 출금현황(5/24~5/28)</t>
    <phoneticPr fontId="2" type="noConversion"/>
  </si>
  <si>
    <t xml:space="preserve">아이온(LGCNS) 4월분 </t>
    <phoneticPr fontId="2" type="noConversion"/>
  </si>
  <si>
    <t>5/25 입금완료</t>
    <phoneticPr fontId="2" type="noConversion"/>
  </si>
  <si>
    <t>SK my suni 경비입금</t>
    <phoneticPr fontId="2" type="noConversion"/>
  </si>
  <si>
    <t>중진공 대출 입금</t>
    <phoneticPr fontId="2" type="noConversion"/>
  </si>
  <si>
    <t>현대캐피탈 경비입금</t>
    <phoneticPr fontId="2" type="noConversion"/>
  </si>
  <si>
    <t>라인뱅크재팬 법인 인터넷뱅킹_프론트 구축 중도금 1차</t>
    <phoneticPr fontId="2" type="noConversion"/>
  </si>
  <si>
    <t>롯데카드 경비입금</t>
    <phoneticPr fontId="2" type="noConversion"/>
  </si>
  <si>
    <t xml:space="preserve">현대캐피탈 스탁론 Digital 프로젝트 4월분 </t>
    <phoneticPr fontId="2" type="noConversion"/>
  </si>
  <si>
    <t>광화문 사무실 맥심구매 환급금</t>
    <phoneticPr fontId="2" type="noConversion"/>
  </si>
  <si>
    <t>5/28 입금완료</t>
    <phoneticPr fontId="2" type="noConversion"/>
  </si>
  <si>
    <t>SK my suni 5월분</t>
    <phoneticPr fontId="2" type="noConversion"/>
  </si>
  <si>
    <t>스마일 EDI 세금계산서 수수료</t>
    <phoneticPr fontId="2" type="noConversion"/>
  </si>
  <si>
    <t>SK my suni 이준우 추가분</t>
    <phoneticPr fontId="2" type="noConversion"/>
  </si>
  <si>
    <t>로얄빌딩 5층 계약금 (김영란)</t>
    <phoneticPr fontId="2" type="noConversion"/>
  </si>
  <si>
    <t>천조 - SKT Our365 홈페이지 운영 12월</t>
    <phoneticPr fontId="2" type="noConversion"/>
  </si>
  <si>
    <t>로얄빌딩관리단 5층 계약 보증료</t>
    <phoneticPr fontId="2" type="noConversion"/>
  </si>
  <si>
    <t>대림비앤코 5월 렌탈료 (본사 3,5층 정수기, 비데)</t>
  </si>
  <si>
    <t>신한 경비입금</t>
    <phoneticPr fontId="2" type="noConversion"/>
  </si>
  <si>
    <t>한경화님 단기차입금 입금</t>
    <phoneticPr fontId="2" type="noConversion"/>
  </si>
  <si>
    <t>퀵 발송 (광화문 -&gt; 아이파트너즈(SKBB) 외장하드)</t>
    <phoneticPr fontId="2" type="noConversion"/>
  </si>
  <si>
    <t>광화문 사무실 소모품 구매 (서류봉투, 맥심, 맥널티, 둥굴레차, 물티슈)</t>
    <phoneticPr fontId="2" type="noConversion"/>
  </si>
  <si>
    <t>본사 소모품 구매 (L자 파일)</t>
    <phoneticPr fontId="2" type="noConversion"/>
  </si>
  <si>
    <t>우편발송 (아이파트너즈 계약서)</t>
    <phoneticPr fontId="2" type="noConversion"/>
  </si>
  <si>
    <t>우편발송 (광화문 사무실 에스원계약서)</t>
    <phoneticPr fontId="2" type="noConversion"/>
  </si>
  <si>
    <t>광화문 사무실 비품 구매 (5층 파티션 구매)</t>
    <phoneticPr fontId="2" type="noConversion"/>
  </si>
  <si>
    <t>차주 입금예정(5/31~6/4)</t>
    <phoneticPr fontId="2" type="noConversion"/>
  </si>
  <si>
    <t>차주 출금예정(5/31~6/4)</t>
    <phoneticPr fontId="2" type="noConversion"/>
  </si>
  <si>
    <t>링인터랙티브 - EBS 공교육지원 인터넷 서비스 디자인지원</t>
    <phoneticPr fontId="2" type="noConversion"/>
  </si>
  <si>
    <t>5/31 입금예정</t>
    <phoneticPr fontId="2" type="noConversion"/>
  </si>
  <si>
    <t>덕윤빌딩 - 임대료 5월분(3층, 4층)</t>
    <phoneticPr fontId="2" type="noConversion"/>
  </si>
  <si>
    <t>애큐온 4월분 (권장미, 손효주)</t>
    <phoneticPr fontId="2" type="noConversion"/>
  </si>
  <si>
    <t>로얄빌딩 - 5월 관리비</t>
    <phoneticPr fontId="2" type="noConversion"/>
  </si>
  <si>
    <t>애드파워 - 힐스테이트 용인둔전점</t>
    <phoneticPr fontId="2" type="noConversion"/>
  </si>
  <si>
    <t>로얄빌딩 김승택 - 5월 임대료</t>
  </si>
  <si>
    <t>비상 마스터케이 B2B 선금</t>
    <phoneticPr fontId="2" type="noConversion"/>
  </si>
  <si>
    <t>로얄빌딩 김태훈 - 5월 임대료</t>
  </si>
  <si>
    <t>효성 - 3,5월 로그인페이지 제작건</t>
    <phoneticPr fontId="2" type="noConversion"/>
  </si>
  <si>
    <t>신도디지털OA - 신도OA 복합기 5월사용료</t>
  </si>
  <si>
    <t>쌍용 ebs구축 잔금</t>
    <phoneticPr fontId="2" type="noConversion"/>
  </si>
  <si>
    <t>한결세무사 - 5월분 기장료</t>
  </si>
  <si>
    <t>세금계산서 미발행</t>
    <phoneticPr fontId="2" type="noConversion"/>
  </si>
  <si>
    <t>중랑구청 운영 5월분</t>
    <phoneticPr fontId="2" type="noConversion"/>
  </si>
  <si>
    <t>6/4 입금예정</t>
    <phoneticPr fontId="2" type="noConversion"/>
  </si>
  <si>
    <t>깨끗한환경 - 5월 청소비</t>
    <phoneticPr fontId="2" type="noConversion"/>
  </si>
  <si>
    <t>더좋은환경 사업자변경</t>
    <phoneticPr fontId="2" type="noConversion"/>
  </si>
  <si>
    <t>씨젠 - SG OVERCOMM communication</t>
    <phoneticPr fontId="2" type="noConversion"/>
  </si>
  <si>
    <t>파이브링크 - 한양대 입학처 리뉴얼 개발 1차 대금</t>
    <phoneticPr fontId="2" type="noConversion"/>
  </si>
  <si>
    <t>날리지큐브 - 힐스테이트 유지보수 니어서비스 5월분</t>
  </si>
  <si>
    <t>미래 IT - 5월 일산, 본사.광화문 장비임대건 및 4월 미지급건 (입금 후 계산서 발행)</t>
    <phoneticPr fontId="2" type="noConversion"/>
  </si>
  <si>
    <t xml:space="preserve">한국렌탈 - 5월 삼성 노트북, LG 모니터 임대료 </t>
    <phoneticPr fontId="2" type="noConversion"/>
  </si>
  <si>
    <t>미래에셋 - 보험료 4월분 미납분</t>
    <phoneticPr fontId="2" type="noConversion"/>
  </si>
  <si>
    <t>5/28기준 명세서 미수령</t>
    <phoneticPr fontId="2" type="noConversion"/>
  </si>
  <si>
    <t>로얄빌딩 5층 잔금</t>
    <phoneticPr fontId="2" type="noConversion"/>
  </si>
  <si>
    <t>로얄빌딩 중개수수료</t>
    <phoneticPr fontId="2" type="noConversion"/>
  </si>
  <si>
    <t>브랜뉴컴 - 로얄빌딩 11층 랜공사</t>
    <phoneticPr fontId="2" type="noConversion"/>
  </si>
  <si>
    <t>이준우 수석 자녀돌 경조사비 지급</t>
    <phoneticPr fontId="2" type="noConversion"/>
  </si>
  <si>
    <t>디앤디피아-현대건설 e-book 제작</t>
    <phoneticPr fontId="2" type="noConversion"/>
  </si>
  <si>
    <t>박찬호 - 야근식대, 주말식대, 야근교통비</t>
    <phoneticPr fontId="2" type="noConversion"/>
  </si>
  <si>
    <t>김민지 - 야근교통비 , 유닛회식비</t>
    <phoneticPr fontId="2" type="noConversion"/>
  </si>
  <si>
    <t>현창하 - 외장하드구매</t>
    <phoneticPr fontId="2" type="noConversion"/>
  </si>
  <si>
    <t>이승환 - 백엔드팀 교육비</t>
    <phoneticPr fontId="2" type="noConversion"/>
  </si>
  <si>
    <t>박가영 - 백엔드팀 교육비, 야근식대</t>
    <phoneticPr fontId="2" type="noConversion"/>
  </si>
  <si>
    <t>피영아 - 백엔드팀 교육비</t>
    <phoneticPr fontId="2" type="noConversion"/>
  </si>
  <si>
    <t>전병길 - 야근식대 , 프로젝트 철수 이동비</t>
    <phoneticPr fontId="2" type="noConversion"/>
  </si>
  <si>
    <t>최유미 - 새벽출근 택시비</t>
    <phoneticPr fontId="2" type="noConversion"/>
  </si>
  <si>
    <t>4월 경비 사용 - 현창하 본부장</t>
    <phoneticPr fontId="2" type="noConversion"/>
  </si>
  <si>
    <t>4,5월 경비사용 - 박정운본부장</t>
    <phoneticPr fontId="2" type="noConversion"/>
  </si>
  <si>
    <t>5월 경비사용 - 경영기획팀</t>
    <phoneticPr fontId="2" type="noConversion"/>
  </si>
  <si>
    <t>5월 경비사용 - EBS 운영팀</t>
    <phoneticPr fontId="2" type="noConversion"/>
  </si>
  <si>
    <t xml:space="preserve">■발의일자 : 2021년     6 월   4  일                                                                                                                  </t>
    <phoneticPr fontId="2" type="noConversion"/>
  </si>
  <si>
    <t>금주 입금현황(5/31~6/4)</t>
    <phoneticPr fontId="2" type="noConversion"/>
  </si>
  <si>
    <t>금주 출금현황(5/31~6/4)</t>
    <phoneticPr fontId="2" type="noConversion"/>
  </si>
  <si>
    <t>출금일</t>
    <phoneticPr fontId="2" type="noConversion"/>
  </si>
  <si>
    <t>5/31 입금완료</t>
    <phoneticPr fontId="2" type="noConversion"/>
  </si>
  <si>
    <t>6/1 입금완료</t>
    <phoneticPr fontId="2" type="noConversion"/>
  </si>
  <si>
    <t>SK 텔레콤 - our365 5월분</t>
    <phoneticPr fontId="2" type="noConversion"/>
  </si>
  <si>
    <t>6/4 입금완료</t>
    <phoneticPr fontId="2" type="noConversion"/>
  </si>
  <si>
    <t>애큐온은행 입금</t>
    <phoneticPr fontId="2" type="noConversion"/>
  </si>
  <si>
    <t>SK - 안양준이사건</t>
    <phoneticPr fontId="2" type="noConversion"/>
  </si>
  <si>
    <t>신한은행출금</t>
    <phoneticPr fontId="2" type="noConversion"/>
  </si>
  <si>
    <t>현금 인출 (대표님 요청건)</t>
    <phoneticPr fontId="2" type="noConversion"/>
  </si>
  <si>
    <t>신한은행 카드 선결제 (5118 - 경영기획팀 카드)</t>
    <phoneticPr fontId="2" type="noConversion"/>
  </si>
  <si>
    <t>경비지급 (SH공사-1차)</t>
    <phoneticPr fontId="2" type="noConversion"/>
  </si>
  <si>
    <t>신한은행 법인 한도대출 이자지급</t>
    <phoneticPr fontId="2" type="noConversion"/>
  </si>
  <si>
    <t>퀵 발송  (매봉사무실 -&gt; 광화문 사무실 / 장비이동)</t>
    <phoneticPr fontId="2" type="noConversion"/>
  </si>
  <si>
    <t>법인카드 (경영기획팀)</t>
    <phoneticPr fontId="2" type="noConversion"/>
  </si>
  <si>
    <t>퀵 발송 (광화문 사무실 -&gt;서울역(SKBB) / 장비이동)</t>
    <phoneticPr fontId="2" type="noConversion"/>
  </si>
  <si>
    <t>생일기프티콘 발송 (김시현 수석)</t>
    <phoneticPr fontId="2" type="noConversion"/>
  </si>
  <si>
    <t>본사 4층 비품 구매 (점보롤휴지, 핸드타올)</t>
    <phoneticPr fontId="2" type="noConversion"/>
  </si>
  <si>
    <t>본사 3층 비품 구매 (물티슈, 핸드타올, 보리차, 녹차)</t>
    <phoneticPr fontId="2" type="noConversion"/>
  </si>
  <si>
    <t>도메인 구매 (SKTelecom CONNECT+ 개발서버)</t>
    <phoneticPr fontId="2" type="noConversion"/>
  </si>
  <si>
    <t>라이선스 구매 (클립아트코리아 1년)</t>
    <phoneticPr fontId="2" type="noConversion"/>
  </si>
  <si>
    <t>퀵 발송 (유컴패니온 -&gt; SH공사 / 장비이동)</t>
    <phoneticPr fontId="2" type="noConversion"/>
  </si>
  <si>
    <t>퀵 발송 (EBS운영팀 -&gt; 유컴패니온/장비회수)</t>
    <phoneticPr fontId="2" type="noConversion"/>
  </si>
  <si>
    <t>계약이행증권 발행 (신한차세대 통합교육 플랫폼)</t>
    <phoneticPr fontId="2" type="noConversion"/>
  </si>
  <si>
    <t>선급금이행증권 발행 (신한차세대 통합교육 플랫폼)</t>
    <phoneticPr fontId="2" type="noConversion"/>
  </si>
  <si>
    <t>잡코리아 인재서칭 구매</t>
    <phoneticPr fontId="2" type="noConversion"/>
  </si>
  <si>
    <t>광화문 사무실 5층 비품 구매 ( 파티션 2개 추가구입 및 높이 추가)</t>
    <phoneticPr fontId="2" type="noConversion"/>
  </si>
  <si>
    <t>생일기프티콘 발송 (조완섭 수석)</t>
    <phoneticPr fontId="2" type="noConversion"/>
  </si>
  <si>
    <t>광화문 사무실 주차권 구매 (30분 *30장)</t>
    <phoneticPr fontId="2" type="noConversion"/>
  </si>
  <si>
    <t xml:space="preserve">광화문 사무실 공사현장 음료대 </t>
    <phoneticPr fontId="2" type="noConversion"/>
  </si>
  <si>
    <t>광화문 사무실 비품 구매 (화장지, 맥심, 물티슈,녹차,둥굴레차,종이컵, 수세미, 물)</t>
    <phoneticPr fontId="2" type="noConversion"/>
  </si>
  <si>
    <t>광화문 사무실 문구류 구매 (볼펜,포스트잇,테이프,가위,멀티탭,자,클립,스템플러 등)</t>
    <phoneticPr fontId="2" type="noConversion"/>
  </si>
  <si>
    <t>계약이행증권 발행 (전사지원 통합관리 시스템구축 1단계 - 아이티메이트)</t>
    <phoneticPr fontId="2" type="noConversion"/>
  </si>
  <si>
    <t>선급금이행증권 발행 (전사지원 통합관리 시스템구축 1단계 - 아이티메이트)</t>
    <phoneticPr fontId="2" type="noConversion"/>
  </si>
  <si>
    <t>생일기프티콘 발송 (이고운 책임)</t>
    <phoneticPr fontId="2" type="noConversion"/>
  </si>
  <si>
    <t>생일기프티콘 발송 (나연수 수석)</t>
    <phoneticPr fontId="2" type="noConversion"/>
  </si>
  <si>
    <t>광화문 사무실 비품 구매 (냉장고)</t>
    <phoneticPr fontId="2" type="noConversion"/>
  </si>
  <si>
    <t>광화문 사무실 비품구매 (주방세제, 종이컵, 행거, 휴지통, 옷걸이,물티슈,수세미받침대, 제빙보관기, 대봉투,손소독제, A4용지,재활용쓰레기봉투, 전자레인지, 케냐 AA)</t>
    <phoneticPr fontId="2" type="noConversion"/>
  </si>
  <si>
    <t>차주 입금예정(6/7~6/11)</t>
    <phoneticPr fontId="2" type="noConversion"/>
  </si>
  <si>
    <t>차주 출금예정(6/7~6/11)</t>
    <phoneticPr fontId="2" type="noConversion"/>
  </si>
  <si>
    <t>6/7 입금완료</t>
  </si>
  <si>
    <t>신한은행 -&gt; 농협이체</t>
    <phoneticPr fontId="2" type="noConversion"/>
  </si>
  <si>
    <t>네오메디아 - SKT 통합사이트 유지보수 건 중도금</t>
  </si>
  <si>
    <t>6/9 입금완료</t>
  </si>
  <si>
    <t>신한은행 대출 이자납부</t>
  </si>
  <si>
    <t>아이티메이트 - 전자자원통합관리시스템 구축 1단계 사업 선급금</t>
  </si>
  <si>
    <t>얼마예요 5월분</t>
  </si>
  <si>
    <t>LG하우시스 웹진 리뉴얼 구축 중도금</t>
    <phoneticPr fontId="2" type="noConversion"/>
  </si>
  <si>
    <t>6/10 입금완료</t>
  </si>
  <si>
    <t>롯데카드 경비지급</t>
  </si>
  <si>
    <t>신한은행 -&gt; 우리(롯데) 이체</t>
  </si>
  <si>
    <t>쌍용정보통신 - EBS 공교육지원 인터넷서비스 운영 5월</t>
  </si>
  <si>
    <t>5월분 직원급여</t>
  </si>
  <si>
    <t>6/7 입금예정</t>
    <phoneticPr fontId="2" type="noConversion"/>
  </si>
  <si>
    <t>박영일 - 5월 프리급여 (본사-개발이사)</t>
  </si>
  <si>
    <t>나연수 - 5월 프리급여 (본사)</t>
  </si>
  <si>
    <t>김대훈 - 5월 프리급여 (본사)</t>
  </si>
  <si>
    <t>송지은 - 5월 프리급여 (본사)</t>
    <phoneticPr fontId="2" type="noConversion"/>
  </si>
  <si>
    <t>5/1 입사 /  5/31퇴사</t>
    <phoneticPr fontId="2" type="noConversion"/>
  </si>
  <si>
    <t>이송하 - 5월 프리급여 (본사)</t>
    <phoneticPr fontId="2" type="noConversion"/>
  </si>
  <si>
    <t>김현주 - 5월 프리급여 (본사)</t>
  </si>
  <si>
    <t xml:space="preserve">5/28 입사 - 6/1퇴사
5일치 </t>
  </si>
  <si>
    <t>박지훈 - 5월 프리급여 (SK)</t>
  </si>
  <si>
    <t>김승호 - 5월 프리급여(SK)</t>
  </si>
  <si>
    <t>강연웅 - 5월 프리급여(SK)</t>
  </si>
  <si>
    <t>이우진 - 5월 프리급여 (현대캐피탈)</t>
  </si>
  <si>
    <t>옥미영 - 5월 프리급여 (현대캐피탈)</t>
  </si>
  <si>
    <t>박승철 - 5월 프리급여 (현대캐피탈)</t>
    <phoneticPr fontId="2" type="noConversion"/>
  </si>
  <si>
    <t>정수미 - 5월 프리급여 (현대캐피탈)</t>
    <phoneticPr fontId="2" type="noConversion"/>
  </si>
  <si>
    <t>5/1 입사</t>
    <phoneticPr fontId="2" type="noConversion"/>
  </si>
  <si>
    <t>유수현 - 5월 프리급여 (롯데카드)</t>
  </si>
  <si>
    <t>오은정 - 5월 프리급여 (롯데카드)</t>
    <phoneticPr fontId="2" type="noConversion"/>
  </si>
  <si>
    <t>채지은 - 5월 프리급여 (롯데카드)</t>
    <phoneticPr fontId="2" type="noConversion"/>
  </si>
  <si>
    <t>조찬기 - 5월 프리급여 (롯데카드)</t>
    <phoneticPr fontId="2" type="noConversion"/>
  </si>
  <si>
    <t>김태형 - 5월 프리급여 (마스터K)</t>
  </si>
  <si>
    <t>5/3 투입</t>
  </si>
  <si>
    <t>제이플러스파트너즈 - LG CNS김동민 (5월분) / SK - 안양준 이사건</t>
    <phoneticPr fontId="2" type="noConversion"/>
  </si>
  <si>
    <t>SK 입금건 %확인 필요</t>
    <phoneticPr fontId="2" type="noConversion"/>
  </si>
  <si>
    <t>플랜디(김선영) - 롯데카드 기획인력 (5월분)</t>
  </si>
  <si>
    <t>5/7 종료 7일 일할계산</t>
    <phoneticPr fontId="2" type="noConversion"/>
  </si>
  <si>
    <t>알티시스템- 롯데카드 박정용 (5월분)</t>
    <phoneticPr fontId="2" type="noConversion"/>
  </si>
  <si>
    <t>5/10 투입 22일 일할계산 
6,500,000(업체계약 진행중)</t>
    <phoneticPr fontId="2" type="noConversion"/>
  </si>
  <si>
    <t>SKBB 임화수 (5월분)</t>
    <phoneticPr fontId="2" type="noConversion"/>
  </si>
  <si>
    <t>5/27 투입 5일할계산 
5,500,000원 (업체계약 진행x)</t>
    <phoneticPr fontId="2" type="noConversion"/>
  </si>
  <si>
    <t>5월분 건강보험료</t>
  </si>
  <si>
    <t>5월분 연금보험료</t>
  </si>
  <si>
    <t>5월분 고용보험료</t>
  </si>
  <si>
    <t>5월분 산재보험료</t>
  </si>
  <si>
    <t>세콤 - 6,7월 서비스이용료,  공사비 (광화문 사무실 5층)</t>
  </si>
  <si>
    <t>퇴직연금 5월분</t>
  </si>
  <si>
    <t>미래에셋 보험료 5월분</t>
    <phoneticPr fontId="2" type="noConversion"/>
  </si>
  <si>
    <t>라노스가구 - 5층 가구 (책상,의자,파티션,서랍장,캐비닛 등)</t>
    <phoneticPr fontId="2" type="noConversion"/>
  </si>
  <si>
    <t>브랜뉴컴 - 11층 광케이블 설치 / 5층 랜선공사</t>
    <phoneticPr fontId="2" type="noConversion"/>
  </si>
  <si>
    <t xml:space="preserve">■발의일자 : 2021년     6 월   11  일                                                                                                                  </t>
    <phoneticPr fontId="2" type="noConversion"/>
  </si>
  <si>
    <t>금주 입금현황(6/7~6/11)</t>
    <phoneticPr fontId="2" type="noConversion"/>
  </si>
  <si>
    <t>금주 출금현황(6/7~6/11)</t>
    <phoneticPr fontId="2" type="noConversion"/>
  </si>
  <si>
    <t>기업은행 이체수수료 (천조 12월분 신한은행 이체)</t>
    <phoneticPr fontId="2" type="noConversion"/>
  </si>
  <si>
    <t>신한은행 대출 이자비용</t>
  </si>
  <si>
    <t>광화문 사무실 비품 구매 (간의의자 4개)</t>
    <phoneticPr fontId="2" type="noConversion"/>
  </si>
  <si>
    <t>산돌구름 인원수 증가 수수료 (기존 20명 -&gt; 50명)</t>
    <phoneticPr fontId="2" type="noConversion"/>
  </si>
  <si>
    <t>계약이행증권 취소 분 (전사지원 통합관리 시스템구축 1단계 - 아이티메이트)</t>
    <phoneticPr fontId="2" type="noConversion"/>
  </si>
  <si>
    <t>라이센스 구매 (에디트 플러스 30명)</t>
    <phoneticPr fontId="2" type="noConversion"/>
  </si>
  <si>
    <t>노트북 시건장치 구매 (SKBB - 서울역)</t>
    <phoneticPr fontId="2" type="noConversion"/>
  </si>
  <si>
    <t>퀵 발송 (유컴패니온-&gt;신한DS / 모니터 5개)</t>
    <phoneticPr fontId="2" type="noConversion"/>
  </si>
  <si>
    <t>우편발송 (아이티메이트 선금증빙서류)</t>
    <phoneticPr fontId="2" type="noConversion"/>
  </si>
  <si>
    <t>생일기프티콘 발송 (황보혜 책임)</t>
    <phoneticPr fontId="2" type="noConversion"/>
  </si>
  <si>
    <t>선급금이행증권 취소 분(전사지원 통합관리 시스템구축 1단계 - 아이티메이트)</t>
    <phoneticPr fontId="2" type="noConversion"/>
  </si>
  <si>
    <t xml:space="preserve">어도비 라이선스 10개 추가 분 </t>
    <phoneticPr fontId="2" type="noConversion"/>
  </si>
  <si>
    <t xml:space="preserve">	306,666</t>
    <phoneticPr fontId="2" type="noConversion"/>
  </si>
  <si>
    <t>차주 입금예정(6/14~6/18)</t>
    <phoneticPr fontId="2" type="noConversion"/>
  </si>
  <si>
    <t>차주 출금예정(6/14~6/18)</t>
    <phoneticPr fontId="2" type="noConversion"/>
  </si>
  <si>
    <t>미정</t>
  </si>
  <si>
    <t>진학사 부경대 유지보수 잔금</t>
  </si>
  <si>
    <t>6/15 예정</t>
  </si>
  <si>
    <t xml:space="preserve">SK 브로드밴드 6월분 </t>
    <phoneticPr fontId="2" type="noConversion"/>
  </si>
  <si>
    <t>세콤 6월분 (본사)</t>
  </si>
  <si>
    <t xml:space="preserve">■발의일자 : 2021년     6 월   18  일                                                                                                                  </t>
    <phoneticPr fontId="2" type="noConversion"/>
  </si>
  <si>
    <t>금주 입금현황(6/14~6/18)</t>
    <phoneticPr fontId="2" type="noConversion"/>
  </si>
  <si>
    <t>금주 출금현황(6/14~6/18)</t>
    <phoneticPr fontId="2" type="noConversion"/>
  </si>
  <si>
    <t>1년 미만자 퇴직금 반환 (채수형) - 퇴직연금</t>
  </si>
  <si>
    <t>6/14 입금완료</t>
    <phoneticPr fontId="2" type="noConversion"/>
  </si>
  <si>
    <t>SK마이써니 경비입금</t>
    <phoneticPr fontId="2" type="noConversion"/>
  </si>
  <si>
    <t>신한은행 -&gt; 우리(SK) 입금</t>
    <phoneticPr fontId="2" type="noConversion"/>
  </si>
  <si>
    <t>6/15 입금완료</t>
    <phoneticPr fontId="2" type="noConversion"/>
  </si>
  <si>
    <t>선관위 경비입금</t>
    <phoneticPr fontId="2" type="noConversion"/>
  </si>
  <si>
    <t>신한은행 -&gt; 우리(선관위) 입금</t>
    <phoneticPr fontId="2" type="noConversion"/>
  </si>
  <si>
    <t>신한은행(주거래) 이자수익</t>
    <phoneticPr fontId="2" type="noConversion"/>
  </si>
  <si>
    <t>6/19 입금완료</t>
    <phoneticPr fontId="2" type="noConversion"/>
  </si>
  <si>
    <t>비품 구매 (SK브로드밴드 캡쳐보드 분배기)</t>
    <phoneticPr fontId="2" type="noConversion"/>
  </si>
  <si>
    <t>신한은행(비상용) 이자수익</t>
    <phoneticPr fontId="2" type="noConversion"/>
  </si>
  <si>
    <t>신한은행(비상용) 입금</t>
    <phoneticPr fontId="2" type="noConversion"/>
  </si>
  <si>
    <t>광화문 사무실 비품구매 (모니터받침대 5개, 보조받침대 10개, 물티슈, 마스크)</t>
    <phoneticPr fontId="2" type="noConversion"/>
  </si>
  <si>
    <t>일학습병행제 훈련비</t>
    <phoneticPr fontId="2" type="noConversion"/>
  </si>
  <si>
    <t>6/16 입금완료</t>
    <phoneticPr fontId="2" type="noConversion"/>
  </si>
  <si>
    <t>퀵 발송 (매봉 -&gt; SKBB 서울역 / 노트북 3대)</t>
    <phoneticPr fontId="2" type="noConversion"/>
  </si>
  <si>
    <t>우리은행 (일학습병행제) 이자수익</t>
    <phoneticPr fontId="2" type="noConversion"/>
  </si>
  <si>
    <t>퀵 발송 (매봉 -&gt; SH공사 / 데스크탑 2개, 모니터 6개, 기타소모품)</t>
    <phoneticPr fontId="2" type="noConversion"/>
  </si>
  <si>
    <t>우리은행 (주거래) 이자수익</t>
    <phoneticPr fontId="2" type="noConversion"/>
  </si>
  <si>
    <t>계약이행증권 발행 (애큐온저축은행- 박은숙 책임)</t>
    <phoneticPr fontId="2" type="noConversion"/>
  </si>
  <si>
    <t>애큐온저축은행 이자수익</t>
    <phoneticPr fontId="2" type="noConversion"/>
  </si>
  <si>
    <t>우편발송 (애큐온저축은행 계약서류)</t>
    <phoneticPr fontId="2" type="noConversion"/>
  </si>
  <si>
    <t>본사 소모품 구매 (재활용 쓰레기봉투)</t>
    <phoneticPr fontId="2" type="noConversion"/>
  </si>
  <si>
    <t>계약이행증권 발행 (SK브로드밴드 - 제휴DB시스템 고도화)</t>
    <phoneticPr fontId="2" type="noConversion"/>
  </si>
  <si>
    <t>생일기프티콘 발송 (이진경 수석)</t>
    <phoneticPr fontId="2" type="noConversion"/>
  </si>
  <si>
    <t>차주 입금예정(6/21~6/25)</t>
    <phoneticPr fontId="2" type="noConversion"/>
  </si>
  <si>
    <t>차주 출금예정(6/21~6/25)</t>
    <phoneticPr fontId="2" type="noConversion"/>
  </si>
  <si>
    <t>아이온(LGCNS인력투입) 5월분 입금확인</t>
    <phoneticPr fontId="2" type="noConversion"/>
  </si>
  <si>
    <t>6/25 예정</t>
    <phoneticPr fontId="2" type="noConversion"/>
  </si>
  <si>
    <t>뱅크웨어(현대스탁론) 5월분 입금확인</t>
    <phoneticPr fontId="2" type="noConversion"/>
  </si>
  <si>
    <t>뱅크웨어(라인뱅크) 5월분 입금확인</t>
    <phoneticPr fontId="2" type="noConversion"/>
  </si>
  <si>
    <t>신한은행 -&gt; 농협은행</t>
    <phoneticPr fontId="2" type="noConversion"/>
  </si>
  <si>
    <t>엔지니어링 4월분 입금확인</t>
    <phoneticPr fontId="2" type="noConversion"/>
  </si>
  <si>
    <t>LG U+ 인터넷, 전화 6월분</t>
    <phoneticPr fontId="2" type="noConversion"/>
  </si>
  <si>
    <t>현대건설 4월분 입금확인</t>
    <phoneticPr fontId="2" type="noConversion"/>
  </si>
  <si>
    <t>신한카드 대금납부 (EBS, 경영기획팀, 권세희 책임)</t>
  </si>
  <si>
    <t>신한DS 선금20% 입금확인</t>
    <phoneticPr fontId="2" type="noConversion"/>
  </si>
  <si>
    <t>6/30 예정</t>
    <phoneticPr fontId="2" type="noConversion"/>
  </si>
  <si>
    <t>신한카드 대금납부 (박영일 이사님)</t>
  </si>
  <si>
    <t>힐스테이트 장안 센트럴, 힐스 에비뉴 장안 센트럴 분양홈페이지</t>
    <phoneticPr fontId="2" type="noConversion"/>
  </si>
  <si>
    <t>우리블루카드 대금</t>
  </si>
  <si>
    <t>코리아노무법인 6월 자문수수료</t>
    <phoneticPr fontId="2" type="noConversion"/>
  </si>
  <si>
    <t>대림비앤코 6월 렌탈료 (본사 3,4층 정수기, 비데)</t>
    <phoneticPr fontId="2" type="noConversion"/>
  </si>
  <si>
    <t>청호렌탈 6월 렌탈료 (광화문 정수기)</t>
    <phoneticPr fontId="2" type="noConversion"/>
  </si>
  <si>
    <t xml:space="preserve">■발의일자 : 2021년     6 월   25  일                                                                                                                  </t>
    <phoneticPr fontId="2" type="noConversion"/>
  </si>
  <si>
    <t>금주 입금현황(6/21~6/25)</t>
    <phoneticPr fontId="2" type="noConversion"/>
  </si>
  <si>
    <t>금주 출금현황(6/21~6/25)</t>
    <phoneticPr fontId="2" type="noConversion"/>
  </si>
  <si>
    <t>밸류시스_코트라 온라인전시관 고도화-UI 잔금1차</t>
    <phoneticPr fontId="2" type="noConversion"/>
  </si>
  <si>
    <t>6/21 입금완료</t>
    <phoneticPr fontId="2" type="noConversion"/>
  </si>
  <si>
    <t>6/24 입금완료</t>
    <phoneticPr fontId="2" type="noConversion"/>
  </si>
  <si>
    <t>6/25 입금완료</t>
    <phoneticPr fontId="2" type="noConversion"/>
  </si>
  <si>
    <t>우리(주거래)입금</t>
    <phoneticPr fontId="2" type="noConversion"/>
  </si>
  <si>
    <t>신한카드 대금납부 (경영기획팀, 박영일이사,  권세희 책임 )</t>
    <phoneticPr fontId="2" type="noConversion"/>
  </si>
  <si>
    <t>신한은행 -&gt; 우리은행</t>
    <phoneticPr fontId="2" type="noConversion"/>
  </si>
  <si>
    <t>중진공 대출이자 납부 (1차)</t>
    <phoneticPr fontId="2" type="noConversion"/>
  </si>
  <si>
    <t>6/23 입금완료</t>
    <phoneticPr fontId="2" type="noConversion"/>
  </si>
  <si>
    <t>기업은행 이자수익 입금</t>
    <phoneticPr fontId="2" type="noConversion"/>
  </si>
  <si>
    <t>애큐온 5월분 (박은숙 수석)</t>
  </si>
  <si>
    <t>농협은행 이자수익 입금</t>
    <phoneticPr fontId="2" type="noConversion"/>
  </si>
  <si>
    <t>6/27 입금완료</t>
    <phoneticPr fontId="2" type="noConversion"/>
  </si>
  <si>
    <t>농협은행 입금</t>
    <phoneticPr fontId="2" type="noConversion"/>
  </si>
  <si>
    <t>미래에셋 - 보험료 5월분 미납분</t>
    <phoneticPr fontId="2" type="noConversion"/>
  </si>
  <si>
    <t>제플린 6월 사용료 (29달러)</t>
    <phoneticPr fontId="2" type="noConversion"/>
  </si>
  <si>
    <t>어도비 6월 사용료</t>
    <phoneticPr fontId="2" type="noConversion"/>
  </si>
  <si>
    <t>우편발송 (SK선급대체확인서- 안양준 이사건)</t>
    <phoneticPr fontId="2" type="noConversion"/>
  </si>
  <si>
    <t>하자이행증권 발행 (SK my suni - 본계약)</t>
    <phoneticPr fontId="2" type="noConversion"/>
  </si>
  <si>
    <t>인지세 납부 (유엔 평화유지 장관회의 계약)</t>
    <phoneticPr fontId="2" type="noConversion"/>
  </si>
  <si>
    <t>생일기프티콘 발송 (이호성 책임)</t>
    <phoneticPr fontId="2" type="noConversion"/>
  </si>
  <si>
    <t>차주 입금예정(6/28~7/2)</t>
    <phoneticPr fontId="2" type="noConversion"/>
  </si>
  <si>
    <t>차주 출금예정(6/28~7/2)</t>
    <phoneticPr fontId="2" type="noConversion"/>
  </si>
  <si>
    <t>6/30 입금예정</t>
    <phoneticPr fontId="2" type="noConversion"/>
  </si>
  <si>
    <t>5월 퇴직연금 미지급분 납부</t>
    <phoneticPr fontId="2" type="noConversion"/>
  </si>
  <si>
    <t>SK my suni 6월분</t>
  </si>
  <si>
    <t>7/2 입금예정</t>
  </si>
  <si>
    <t>우리은행 입금</t>
  </si>
  <si>
    <t>중진공 대출 원리금 납입 (0차)</t>
    <phoneticPr fontId="2" type="noConversion"/>
  </si>
  <si>
    <t>SK 텔레콤 - our365 6월분</t>
  </si>
  <si>
    <t>우리은행 대출금 이자 납부 (1차)</t>
    <phoneticPr fontId="2" type="noConversion"/>
  </si>
  <si>
    <t>애큐온저축은행 5월분 (권장미)</t>
  </si>
  <si>
    <t>덕윤빌딩 - 임대료 6월분(3층, 4층)</t>
    <phoneticPr fontId="2" type="noConversion"/>
  </si>
  <si>
    <t>로얄빌딩 - 6월 관리비 (5층, 11층)</t>
    <phoneticPr fontId="2" type="noConversion"/>
  </si>
  <si>
    <t>로얄빌딩 김승택 - 6월 임대료</t>
  </si>
  <si>
    <t>로얄빌딩 김태훈 - 6월 임대료</t>
  </si>
  <si>
    <t>신도디지털OA - 신도OA 복합기 6월사용료</t>
  </si>
  <si>
    <t>한결세무사 - 6월분 기장료</t>
  </si>
  <si>
    <t>깨끗한환경 - 6월 청소비</t>
  </si>
  <si>
    <t>파이브링크 - 현대엔지니어링 4월분</t>
    <phoneticPr fontId="2" type="noConversion"/>
  </si>
  <si>
    <t>날리지큐브 - 힐스테이트 유지보수 니어서비스 6월분</t>
  </si>
  <si>
    <t>이노페이스 - 힐스테이트 둔전역점 VR</t>
    <phoneticPr fontId="2" type="noConversion"/>
  </si>
  <si>
    <t>미래 IT - 6월 본사.광화문 장비임대건 및 SKBB 나스구매</t>
    <phoneticPr fontId="2" type="noConversion"/>
  </si>
  <si>
    <t xml:space="preserve">한국렌탈 - 6월 삼성 노트북, LG 모니터 임대료 </t>
  </si>
  <si>
    <t>다인스케치 6월 명함 제작분 (30명)</t>
    <phoneticPr fontId="2" type="noConversion"/>
  </si>
  <si>
    <t>창성전기 - 5층 전기공사</t>
    <phoneticPr fontId="2" type="noConversion"/>
  </si>
  <si>
    <t>명진종합광고 - 5층,로비 현판제작</t>
    <phoneticPr fontId="2" type="noConversion"/>
  </si>
  <si>
    <t>중진공 이익연동이자 납부</t>
    <phoneticPr fontId="2" type="noConversion"/>
  </si>
  <si>
    <t>퇴직연금 우리은행 자산관리 수수료</t>
    <phoneticPr fontId="2" type="noConversion"/>
  </si>
  <si>
    <t>법인 자동차세 납부</t>
    <phoneticPr fontId="2" type="noConversion"/>
  </si>
  <si>
    <t>이유정 - 팀회식비</t>
    <phoneticPr fontId="2" type="noConversion"/>
  </si>
  <si>
    <t>권세희 - 야근식대</t>
    <phoneticPr fontId="2" type="noConversion"/>
  </si>
  <si>
    <t>양지선 - 로얄빌딩 주차요금</t>
    <phoneticPr fontId="2" type="noConversion"/>
  </si>
  <si>
    <t>이호성 - 야근식대</t>
    <phoneticPr fontId="2" type="noConversion"/>
  </si>
  <si>
    <t>권호성 - 팀회식비</t>
    <phoneticPr fontId="2" type="noConversion"/>
  </si>
  <si>
    <t>박소영 - 팀회식비</t>
    <phoneticPr fontId="2" type="noConversion"/>
  </si>
  <si>
    <t>박찬호 - 팀회식비, 야근식대</t>
    <phoneticPr fontId="2" type="noConversion"/>
  </si>
  <si>
    <t>이승현 - 야근식대</t>
    <phoneticPr fontId="2" type="noConversion"/>
  </si>
  <si>
    <t>이관금 - 야근식대</t>
    <phoneticPr fontId="2" type="noConversion"/>
  </si>
  <si>
    <t>김현정 - 경영기획팀 회식비</t>
  </si>
  <si>
    <t>5월 경비 사용 - 현창하 본부장</t>
    <phoneticPr fontId="2" type="noConversion"/>
  </si>
  <si>
    <t>5월 경비사용 - 박정운본부장</t>
    <phoneticPr fontId="2" type="noConversion"/>
  </si>
  <si>
    <t>5,6월 경비사용 - 권세희 책임</t>
    <phoneticPr fontId="2" type="noConversion"/>
  </si>
  <si>
    <t>6월 경비사용 - 경영기획팀</t>
    <phoneticPr fontId="2" type="noConversion"/>
  </si>
  <si>
    <t>1년 미만자 퇴직금 반환 (송상현) - 퇴직연금</t>
    <phoneticPr fontId="2" type="noConversion"/>
  </si>
  <si>
    <t>7/5 입금완료</t>
    <phoneticPr fontId="2" type="noConversion"/>
  </si>
  <si>
    <t xml:space="preserve">SK하이닉스(안양준 이사) 입금건 </t>
    <phoneticPr fontId="2" type="noConversion"/>
  </si>
  <si>
    <t>신한(주거래) 이체</t>
    <phoneticPr fontId="2" type="noConversion"/>
  </si>
  <si>
    <t xml:space="preserve">SKT 아워365 6월 </t>
    <phoneticPr fontId="2" type="noConversion"/>
  </si>
  <si>
    <t>농협 카드대금 납부(대표님 사용)</t>
    <phoneticPr fontId="2" type="noConversion"/>
  </si>
  <si>
    <t>신한(주거래) -&gt; 농협이체</t>
    <phoneticPr fontId="2" type="noConversion"/>
  </si>
  <si>
    <t>SK마이서니 개발 추가계약건(이준우) 6월분</t>
    <phoneticPr fontId="2" type="noConversion"/>
  </si>
  <si>
    <t xml:space="preserve">신한 대출 이자납부 </t>
    <phoneticPr fontId="2" type="noConversion"/>
  </si>
  <si>
    <t>농협 카드대금 납부(본부장님 사용)</t>
    <phoneticPr fontId="2" type="noConversion"/>
  </si>
  <si>
    <t xml:space="preserve">SK마이서니 기획3명 추가계약건 </t>
    <phoneticPr fontId="2" type="noConversion"/>
  </si>
  <si>
    <t xml:space="preserve">얼마예요 사용 수수료 </t>
    <phoneticPr fontId="2" type="noConversion"/>
  </si>
  <si>
    <t>우리 카드대금  납부</t>
    <phoneticPr fontId="2" type="noConversion"/>
  </si>
  <si>
    <t>6월 직원급여</t>
    <phoneticPr fontId="2" type="noConversion"/>
  </si>
  <si>
    <t>박영일 - 6월 프리급여 (본사-개발이사)</t>
    <phoneticPr fontId="2" type="noConversion"/>
  </si>
  <si>
    <t>조영일 감사 - 6월 프리급여</t>
    <phoneticPr fontId="2" type="noConversion"/>
  </si>
  <si>
    <t>원천세 X</t>
    <phoneticPr fontId="2" type="noConversion"/>
  </si>
  <si>
    <t>이송하 - 6월 프리급여 (본사)</t>
    <phoneticPr fontId="2" type="noConversion"/>
  </si>
  <si>
    <t>권호성 - 6월 프리급여(본사)</t>
    <phoneticPr fontId="2" type="noConversion"/>
  </si>
  <si>
    <t>6/7출근, 490만원 24일 일할계산</t>
    <phoneticPr fontId="2" type="noConversion"/>
  </si>
  <si>
    <t>김하나 -  6월 프리급여</t>
    <phoneticPr fontId="2" type="noConversion"/>
  </si>
  <si>
    <t>5월 1일치 포함</t>
  </si>
  <si>
    <t>문홍기 - 6월 프리급여</t>
  </si>
  <si>
    <t>정규직이나 12일치 프리급여</t>
    <phoneticPr fontId="2" type="noConversion"/>
  </si>
  <si>
    <t>박정환 - 6월 프리급여(신한 캐피탈)</t>
  </si>
  <si>
    <t>6/14출근, 620만원 17일 일할계산</t>
    <phoneticPr fontId="2" type="noConversion"/>
  </si>
  <si>
    <t>김승호 - 6월 프리급여(SK)</t>
    <phoneticPr fontId="2" type="noConversion"/>
  </si>
  <si>
    <t>6/30 종료</t>
    <phoneticPr fontId="2" type="noConversion"/>
  </si>
  <si>
    <t>강연웅 - 6월 프리급여(SK)</t>
    <phoneticPr fontId="2" type="noConversion"/>
  </si>
  <si>
    <t>김대훈 - 6월 프리급여 (SK)</t>
    <phoneticPr fontId="2" type="noConversion"/>
  </si>
  <si>
    <t>이우진 - 6월 프리급여 (현대캐피탈)</t>
    <phoneticPr fontId="2" type="noConversion"/>
  </si>
  <si>
    <t>옥미영 - 6월 프리급여 (현대캐피탈)</t>
    <phoneticPr fontId="2" type="noConversion"/>
  </si>
  <si>
    <t>박승철 - 6월 프리급여 (현대캐피탈)</t>
    <phoneticPr fontId="2" type="noConversion"/>
  </si>
  <si>
    <t>정수미 - 6월 프리급여 (현대캐피탈)</t>
    <phoneticPr fontId="2" type="noConversion"/>
  </si>
  <si>
    <t>나연수 - 6월 프리급여 (롯데카드)</t>
    <phoneticPr fontId="2" type="noConversion"/>
  </si>
  <si>
    <t>유수현 - 6월 프리급여 (롯데카드)</t>
    <phoneticPr fontId="2" type="noConversion"/>
  </si>
  <si>
    <t>오은정 - 6월 프리급여 (롯데카드)</t>
    <phoneticPr fontId="2" type="noConversion"/>
  </si>
  <si>
    <t>채지은 - 6월 프리급여 (롯데카드)</t>
    <phoneticPr fontId="2" type="noConversion"/>
  </si>
  <si>
    <t>조찬기 - 6월 프리급여 (롯데카드)</t>
    <phoneticPr fontId="2" type="noConversion"/>
  </si>
  <si>
    <t>김태형 - 6월 프리급여 (비상마스터K)</t>
    <phoneticPr fontId="2" type="noConversion"/>
  </si>
  <si>
    <t xml:space="preserve">제이플러스파트너즈 - LG CNS김동민 (6월분) </t>
    <phoneticPr fontId="2" type="noConversion"/>
  </si>
  <si>
    <t>알티시스템- 롯데카드 박정용 (6월분)</t>
    <phoneticPr fontId="2" type="noConversion"/>
  </si>
  <si>
    <t>케이아이소프트 - SKBB 임화수 (5,6월분)</t>
  </si>
  <si>
    <t>SK BTV 계정 비용지원(김은영 소장님)</t>
    <phoneticPr fontId="2" type="noConversion"/>
  </si>
  <si>
    <t>방찬미 - 경조사비 (부모님 환갑)</t>
  </si>
  <si>
    <t>양지선 - 경조사비 (자녀돌)</t>
  </si>
  <si>
    <t>6월분 연금보험료</t>
  </si>
  <si>
    <t>6월분 고용보험료</t>
  </si>
  <si>
    <t>6월분 산재보험료</t>
  </si>
  <si>
    <t>퇴직연금 6월분</t>
    <phoneticPr fontId="2" type="noConversion"/>
  </si>
  <si>
    <t>미래에셋 보험료 6월분</t>
    <phoneticPr fontId="2" type="noConversion"/>
  </si>
  <si>
    <t>신한은행 신용대출 원리금 상환(3개월마다)</t>
    <phoneticPr fontId="2" type="noConversion"/>
  </si>
  <si>
    <t>8~14</t>
    <phoneticPr fontId="2" type="noConversion"/>
  </si>
  <si>
    <t>15~21</t>
    <phoneticPr fontId="2" type="noConversion"/>
  </si>
  <si>
    <t>22~28</t>
    <phoneticPr fontId="2" type="noConversion"/>
  </si>
  <si>
    <t>29~4</t>
    <phoneticPr fontId="2" type="noConversion"/>
  </si>
  <si>
    <t>5~11</t>
    <phoneticPr fontId="2" type="noConversion"/>
  </si>
  <si>
    <t>12~18</t>
    <phoneticPr fontId="2" type="noConversion"/>
  </si>
  <si>
    <t>19~ 25</t>
    <phoneticPr fontId="2" type="noConversion"/>
  </si>
  <si>
    <t>26 ~ 2</t>
    <phoneticPr fontId="2" type="noConversion"/>
  </si>
  <si>
    <t>3~9</t>
    <phoneticPr fontId="2" type="noConversion"/>
  </si>
  <si>
    <t>10~ 14</t>
    <phoneticPr fontId="2" type="noConversion"/>
  </si>
  <si>
    <t>17~23</t>
    <phoneticPr fontId="2" type="noConversion"/>
  </si>
  <si>
    <t>24~28</t>
    <phoneticPr fontId="2" type="noConversion"/>
  </si>
  <si>
    <t>31~04</t>
    <phoneticPr fontId="2" type="noConversion"/>
  </si>
  <si>
    <t>07~13</t>
  </si>
  <si>
    <t>14~20</t>
    <phoneticPr fontId="2" type="noConversion"/>
  </si>
  <si>
    <t>21-27</t>
    <phoneticPr fontId="2" type="noConversion"/>
  </si>
  <si>
    <t>6/28~7/4</t>
    <phoneticPr fontId="2" type="noConversion"/>
  </si>
  <si>
    <t>신한 주거래</t>
    <phoneticPr fontId="2" type="noConversion"/>
  </si>
  <si>
    <t>신한 이사통장</t>
    <phoneticPr fontId="2" type="noConversion"/>
  </si>
  <si>
    <t>우리주거래</t>
    <phoneticPr fontId="2" type="noConversion"/>
  </si>
  <si>
    <t>우리일학습</t>
    <phoneticPr fontId="2" type="noConversion"/>
  </si>
  <si>
    <t>농협</t>
    <phoneticPr fontId="2" type="noConversion"/>
  </si>
  <si>
    <t>-</t>
    <phoneticPr fontId="2" type="noConversion"/>
  </si>
  <si>
    <t>기업</t>
    <phoneticPr fontId="2" type="noConversion"/>
  </si>
  <si>
    <t>애큐온</t>
    <phoneticPr fontId="2" type="noConversion"/>
  </si>
  <si>
    <t>7/5 ~ 7/11</t>
    <phoneticPr fontId="2" type="noConversion"/>
  </si>
  <si>
    <t xml:space="preserve">■발의일자 : 2021년     7 월   9  일                                                                                                                  </t>
    <phoneticPr fontId="2" type="noConversion"/>
  </si>
  <si>
    <t>7/9 입금완료</t>
    <phoneticPr fontId="2" type="noConversion"/>
  </si>
  <si>
    <t>7/6 입금완료</t>
    <phoneticPr fontId="2" type="noConversion"/>
  </si>
  <si>
    <t>신한DS 경비 입금</t>
    <phoneticPr fontId="2" type="noConversion"/>
  </si>
  <si>
    <t>경영기획팀 금주 법인카드 사용내역분</t>
    <phoneticPr fontId="2" type="noConversion"/>
  </si>
  <si>
    <t>오피스365 6월추가분 + 7월선납분</t>
    <phoneticPr fontId="2" type="noConversion"/>
  </si>
  <si>
    <t>도메인 2년 구매 (ucomp.io) 79.98 달러</t>
    <phoneticPr fontId="2" type="noConversion"/>
  </si>
  <si>
    <t>인지세납부 (유엔 평화유지 장관회의)</t>
    <phoneticPr fontId="2" type="noConversion"/>
  </si>
  <si>
    <t>우편발송 (뱅크웨어글로벌 라인뱅크 계약서, 케이아이소프트 -SKBB 용역계약서)</t>
    <phoneticPr fontId="2" type="noConversion"/>
  </si>
  <si>
    <t>직원복지용 과자구매</t>
    <phoneticPr fontId="2" type="noConversion"/>
  </si>
  <si>
    <t>SKBB광화문 비품구매(USB C타입 젠더)</t>
    <phoneticPr fontId="2" type="noConversion"/>
  </si>
  <si>
    <t>SKBB서울역 비품 구매 ( 써큘레이터)</t>
    <phoneticPr fontId="2" type="noConversion"/>
  </si>
  <si>
    <t>본사 비품구매 ( DVI-D 선)</t>
    <phoneticPr fontId="2" type="noConversion"/>
  </si>
  <si>
    <t>광화문 비품 구매 (LG모니터 전원선)</t>
    <phoneticPr fontId="2" type="noConversion"/>
  </si>
  <si>
    <t>본사, 매봉사무실  비품구매 (아크릴 명함 꽂이)</t>
    <phoneticPr fontId="2" type="noConversion"/>
  </si>
  <si>
    <t>광화문5층 비품구매 (사무실 문서세단기)</t>
    <phoneticPr fontId="2" type="noConversion"/>
  </si>
  <si>
    <t>SKBB서울역 비품구매 (소형프린터기, 물티슈, 두루마리, A4용지, 커피, 녹차, 마스크,손소독제 등)</t>
    <phoneticPr fontId="2" type="noConversion"/>
  </si>
  <si>
    <t>비품구매 (PC구매 - 대표님 요청건)</t>
    <phoneticPr fontId="2" type="noConversion"/>
  </si>
  <si>
    <t>생일기프티콘 발송 (홍서율 책임)</t>
    <phoneticPr fontId="2" type="noConversion"/>
  </si>
  <si>
    <t>결혼식 화환 발송 (이송하 선임)</t>
    <phoneticPr fontId="2" type="noConversion"/>
  </si>
  <si>
    <t>우편발송 (한결세무사 - 부가가치세 1분기 확정 자료)</t>
    <phoneticPr fontId="2" type="noConversion"/>
  </si>
  <si>
    <t>금주 입금현황(7/5~7/9)</t>
    <phoneticPr fontId="2" type="noConversion"/>
  </si>
  <si>
    <t>금주 출금현황(7/5~7/9)</t>
    <phoneticPr fontId="2" type="noConversion"/>
  </si>
  <si>
    <t>차주 입금예정(7/12~7/16)</t>
    <phoneticPr fontId="2" type="noConversion"/>
  </si>
  <si>
    <t>차주 출금예정(7/12~7/16)</t>
    <phoneticPr fontId="2" type="noConversion"/>
  </si>
  <si>
    <t xml:space="preserve">■발의일자 : 2021년     7 월   16  일                                                                                                                  </t>
    <phoneticPr fontId="2" type="noConversion"/>
  </si>
  <si>
    <t>7/23 입금예정</t>
    <phoneticPr fontId="2" type="noConversion"/>
  </si>
  <si>
    <t>-</t>
    <phoneticPr fontId="2" type="noConversion"/>
  </si>
  <si>
    <t>박지훈 - 6월 프리급여 (SK)</t>
    <phoneticPr fontId="2" type="noConversion"/>
  </si>
  <si>
    <t>6월분 건강보험료</t>
    <phoneticPr fontId="2" type="noConversion"/>
  </si>
  <si>
    <t>SH공사 경비지급</t>
    <phoneticPr fontId="2" type="noConversion"/>
  </si>
  <si>
    <t>선관위 경비지급</t>
    <phoneticPr fontId="2" type="noConversion"/>
  </si>
  <si>
    <t>현대캐피탈 경비지급</t>
    <phoneticPr fontId="2" type="noConversion"/>
  </si>
  <si>
    <t>스마일EDI 세금계산서 비용</t>
    <phoneticPr fontId="2" type="noConversion"/>
  </si>
  <si>
    <t>금주 입금현황(7/12~7/16)</t>
    <phoneticPr fontId="2" type="noConversion"/>
  </si>
  <si>
    <t>금주 출금현황(7/12~7/16)</t>
    <phoneticPr fontId="2" type="noConversion"/>
  </si>
  <si>
    <t>차주 입금예정(7/19~7/23)</t>
    <phoneticPr fontId="2" type="noConversion"/>
  </si>
  <si>
    <t>차주 출금예정(7/19~7/23)</t>
    <phoneticPr fontId="2" type="noConversion"/>
  </si>
  <si>
    <t>세콤 7월분 (본사)</t>
    <phoneticPr fontId="2" type="noConversion"/>
  </si>
  <si>
    <t>광화문 사무실 문구류구매 (스카치테이프, 포스트잇, 형광펜, 클리어홀더 , 비상약품)</t>
    <phoneticPr fontId="2" type="noConversion"/>
  </si>
  <si>
    <t>퀵 발송 (유컴패니온(매봉) -&gt; LG연암문화재단 , 제안서 발송)</t>
    <phoneticPr fontId="2" type="noConversion"/>
  </si>
  <si>
    <t>"</t>
    <phoneticPr fontId="2" type="noConversion"/>
  </si>
  <si>
    <t>퀵 발송 (유컴패니온(매봉) -&gt; 한국경제 , 제안서 발송)</t>
    <phoneticPr fontId="2" type="noConversion"/>
  </si>
  <si>
    <t>제본비용 (LG연암문화재단 제안서 출력)</t>
    <phoneticPr fontId="2" type="noConversion"/>
  </si>
  <si>
    <t>직원복지용 아이스크림 구매</t>
    <phoneticPr fontId="2" type="noConversion"/>
  </si>
  <si>
    <t>우편발송 (농협은행 신용평가 서류)</t>
    <phoneticPr fontId="2" type="noConversion"/>
  </si>
  <si>
    <t>효성 - 6월 로그인페이지 제작건</t>
    <phoneticPr fontId="2" type="noConversion"/>
  </si>
  <si>
    <t>신한카드 대금납부 (경영기획팀)</t>
    <phoneticPr fontId="2" type="noConversion"/>
  </si>
  <si>
    <t>신한카드 대금납부 (권세희 책임)</t>
    <phoneticPr fontId="2" type="noConversion"/>
  </si>
  <si>
    <t>7/12 ~ 7/18</t>
    <phoneticPr fontId="2" type="noConversion"/>
  </si>
  <si>
    <t>SK 브로드밴드 7월분 (IPTV 3대)</t>
    <phoneticPr fontId="2" type="noConversion"/>
  </si>
  <si>
    <r>
      <rPr>
        <b/>
        <sz val="10"/>
        <rFont val="Segoe UI Symbol"/>
        <family val="3"/>
      </rPr>
      <t>■</t>
    </r>
    <r>
      <rPr>
        <b/>
        <sz val="10"/>
        <rFont val="나눔고딕"/>
        <family val="3"/>
        <charset val="129"/>
      </rPr>
      <t xml:space="preserve">발의일자 : 2021년     7 월   </t>
    </r>
    <r>
      <rPr>
        <b/>
        <sz val="10"/>
        <rFont val="맑은 고딕"/>
        <family val="3"/>
        <charset val="129"/>
      </rPr>
      <t>23</t>
    </r>
    <r>
      <rPr>
        <b/>
        <sz val="10"/>
        <rFont val="나눔고딕"/>
        <family val="3"/>
        <charset val="129"/>
      </rPr>
      <t xml:space="preserve">  일                                                                                                                  </t>
    </r>
    <phoneticPr fontId="2" type="noConversion"/>
  </si>
  <si>
    <r>
      <rPr>
        <b/>
        <sz val="12"/>
        <rFont val="맑은 고딕"/>
        <family val="3"/>
        <charset val="129"/>
      </rPr>
      <t>금</t>
    </r>
    <r>
      <rPr>
        <b/>
        <sz val="12"/>
        <rFont val="나눔고딕"/>
        <family val="3"/>
        <charset val="129"/>
      </rPr>
      <t>주 입금예정(7/19~7/23)</t>
    </r>
    <phoneticPr fontId="2" type="noConversion"/>
  </si>
  <si>
    <r>
      <rPr>
        <b/>
        <sz val="12"/>
        <rFont val="맑은 고딕"/>
        <family val="3"/>
        <charset val="129"/>
      </rPr>
      <t>금</t>
    </r>
    <r>
      <rPr>
        <b/>
        <sz val="12"/>
        <rFont val="나눔고딕"/>
        <family val="3"/>
        <charset val="129"/>
      </rPr>
      <t xml:space="preserve">주 </t>
    </r>
    <r>
      <rPr>
        <b/>
        <sz val="12"/>
        <rFont val="맑은 고딕"/>
        <family val="3"/>
        <charset val="129"/>
      </rPr>
      <t>출</t>
    </r>
    <r>
      <rPr>
        <b/>
        <sz val="12"/>
        <rFont val="나눔고딕"/>
        <family val="3"/>
        <charset val="129"/>
      </rPr>
      <t>금예정(7/19~7/23)</t>
    </r>
    <phoneticPr fontId="2" type="noConversion"/>
  </si>
  <si>
    <r>
      <t>차주 입금예정(7/</t>
    </r>
    <r>
      <rPr>
        <b/>
        <sz val="12"/>
        <rFont val="맑은 고딕"/>
        <family val="3"/>
        <charset val="129"/>
      </rPr>
      <t>26</t>
    </r>
    <r>
      <rPr>
        <b/>
        <sz val="12"/>
        <rFont val="나눔고딕"/>
        <family val="3"/>
        <charset val="129"/>
      </rPr>
      <t>~7/</t>
    </r>
    <r>
      <rPr>
        <b/>
        <sz val="12"/>
        <rFont val="맑은 고딕"/>
        <family val="3"/>
        <charset val="129"/>
      </rPr>
      <t>30</t>
    </r>
    <r>
      <rPr>
        <b/>
        <sz val="12"/>
        <rFont val="나눔고딕"/>
        <family val="3"/>
        <charset val="129"/>
      </rPr>
      <t>)</t>
    </r>
    <phoneticPr fontId="2" type="noConversion"/>
  </si>
  <si>
    <r>
      <t xml:space="preserve">차주 </t>
    </r>
    <r>
      <rPr>
        <b/>
        <sz val="12"/>
        <rFont val="맑은 고딕"/>
        <family val="3"/>
        <charset val="129"/>
      </rPr>
      <t>출</t>
    </r>
    <r>
      <rPr>
        <b/>
        <sz val="12"/>
        <rFont val="나눔고딕"/>
        <family val="3"/>
        <charset val="129"/>
      </rPr>
      <t>금예정(7/</t>
    </r>
    <r>
      <rPr>
        <b/>
        <sz val="12"/>
        <rFont val="맑은 고딕"/>
        <family val="3"/>
        <charset val="129"/>
      </rPr>
      <t>26</t>
    </r>
    <r>
      <rPr>
        <b/>
        <sz val="12"/>
        <rFont val="나눔고딕"/>
        <family val="3"/>
        <charset val="129"/>
      </rPr>
      <t>~7/</t>
    </r>
    <r>
      <rPr>
        <b/>
        <sz val="12"/>
        <rFont val="맑은 고딕"/>
        <family val="3"/>
        <charset val="129"/>
      </rPr>
      <t>30</t>
    </r>
    <r>
      <rPr>
        <b/>
        <sz val="12"/>
        <rFont val="나눔고딕"/>
        <family val="3"/>
        <charset val="129"/>
      </rPr>
      <t>)</t>
    </r>
    <phoneticPr fontId="2" type="noConversion"/>
  </si>
  <si>
    <r>
      <rPr>
        <sz val="12"/>
        <rFont val="맑은 고딕"/>
        <family val="3"/>
        <charset val="129"/>
      </rPr>
      <t>6</t>
    </r>
    <r>
      <rPr>
        <sz val="12"/>
        <rFont val="나눔고딕"/>
        <family val="3"/>
        <charset val="129"/>
      </rPr>
      <t>월 퇴직연금 미지급분 납부</t>
    </r>
    <phoneticPr fontId="2" type="noConversion"/>
  </si>
  <si>
    <t>7/30 입금예정</t>
    <phoneticPr fontId="2" type="noConversion"/>
  </si>
  <si>
    <t>뱅크웨어(현대스탁론) 6월분 입금확인</t>
  </si>
  <si>
    <t>현대건설 5월분 입금확인</t>
  </si>
  <si>
    <t>덕윤빌딩 - 임대료 7월분(3층, 4층)</t>
  </si>
  <si>
    <t>신도디지털OA - 신도OA 복합기 7월사용료</t>
  </si>
  <si>
    <t>한결세무사 - 7월분 기장료</t>
  </si>
  <si>
    <t>깨끗한환경 - 7월 청소비</t>
  </si>
  <si>
    <t>날리지큐브 - 힐스테이트 유지보수 니어서비스 7월분</t>
  </si>
  <si>
    <t xml:space="preserve">한국렌탈 - 7월 삼성 노트북, LG 모니터 임대료 </t>
  </si>
  <si>
    <t>로얄빌딩 - 7월 관리비 (5층)</t>
    <phoneticPr fontId="2" type="noConversion"/>
  </si>
  <si>
    <t>로얄빌딩 - 7월 관리비 (11층)</t>
    <phoneticPr fontId="2" type="noConversion"/>
  </si>
  <si>
    <t>매경씨앤비 3,4층 2종방역 / 3층 1종 방역</t>
    <phoneticPr fontId="2" type="noConversion"/>
  </si>
  <si>
    <t>김영란 - 6,7월 임대료 (5층)</t>
    <phoneticPr fontId="2" type="noConversion"/>
  </si>
  <si>
    <r>
      <t>세콤 7월분 (</t>
    </r>
    <r>
      <rPr>
        <sz val="12"/>
        <rFont val="굴림"/>
        <family val="3"/>
        <charset val="129"/>
      </rPr>
      <t>광화문</t>
    </r>
    <r>
      <rPr>
        <sz val="12"/>
        <rFont val="나눔고딕"/>
        <family val="3"/>
        <charset val="129"/>
      </rPr>
      <t>)</t>
    </r>
    <phoneticPr fontId="2" type="noConversion"/>
  </si>
  <si>
    <t xml:space="preserve">우리자산신탁 - 힐스테이트 달성공원역 분양홈페이지 </t>
    <phoneticPr fontId="2" type="noConversion"/>
  </si>
  <si>
    <t>미래 IT - 7월 본사.광화문 장비임대건</t>
    <phoneticPr fontId="2" type="noConversion"/>
  </si>
  <si>
    <t>뱅크웨어(라인뱅크) 6월분 입금확인</t>
    <phoneticPr fontId="2" type="noConversion"/>
  </si>
  <si>
    <t xml:space="preserve"> SK브로드밴드_ 제휴디비시스템 6월분</t>
    <phoneticPr fontId="2" type="noConversion"/>
  </si>
  <si>
    <t xml:space="preserve"> SK브로드밴드_ 다이렉트샵/온라인청약시스템 6월분</t>
    <phoneticPr fontId="2" type="noConversion"/>
  </si>
  <si>
    <t xml:space="preserve"> SK브로드밴드_ B TV / B TV 케이블 콘텐츠 6월분</t>
    <phoneticPr fontId="2" type="noConversion"/>
  </si>
  <si>
    <t xml:space="preserve"> SK브로드밴드_ 기업홈페이지 6월분</t>
    <phoneticPr fontId="2" type="noConversion"/>
  </si>
  <si>
    <t>신한(주거래) 입금</t>
    <phoneticPr fontId="2" type="noConversion"/>
  </si>
  <si>
    <t>아이온(LGCNS인력투입) 6월분 입금확인</t>
    <phoneticPr fontId="2" type="noConversion"/>
  </si>
  <si>
    <t>중진공 대출이자 납부 (2차)</t>
    <phoneticPr fontId="2" type="noConversion"/>
  </si>
  <si>
    <t>코리아노무법인 7월 자문수수료</t>
    <phoneticPr fontId="2" type="noConversion"/>
  </si>
  <si>
    <t>대림비앤코 7월 렌탈료 (본사 3,4층 정수기, 비데)</t>
    <phoneticPr fontId="2" type="noConversion"/>
  </si>
  <si>
    <t>청호렌탈 7월 렌탈료 (광화문 정수기)</t>
    <phoneticPr fontId="2" type="noConversion"/>
  </si>
  <si>
    <t>로얄빌딩 김승택 - 7월 임대료 (11층)</t>
    <phoneticPr fontId="2" type="noConversion"/>
  </si>
  <si>
    <t>로얄빌딩 김태훈 - 7월 임대료  (11층)</t>
    <phoneticPr fontId="2" type="noConversion"/>
  </si>
  <si>
    <t>7/23 입금완료</t>
    <phoneticPr fontId="2" type="noConversion"/>
  </si>
  <si>
    <t xml:space="preserve">스마일EDI_세금계산서 </t>
    <phoneticPr fontId="2" type="noConversion"/>
  </si>
  <si>
    <t>"</t>
    <phoneticPr fontId="2" type="noConversion"/>
  </si>
  <si>
    <t>신한(주거래) 입금</t>
    <phoneticPr fontId="2" type="noConversion"/>
  </si>
  <si>
    <t>기술보증(신한)연장 수수료</t>
    <phoneticPr fontId="2" type="noConversion"/>
  </si>
  <si>
    <t>중랑구청 운영 6월분</t>
    <phoneticPr fontId="2" type="noConversion"/>
  </si>
  <si>
    <t>7/20 입금완료</t>
    <phoneticPr fontId="2" type="noConversion"/>
  </si>
  <si>
    <t>쌍용정보통신 - EBS 공교육지원 인터넷서비스 운영 6월</t>
    <phoneticPr fontId="2" type="noConversion"/>
  </si>
  <si>
    <t>7/21 입금완료</t>
    <phoneticPr fontId="2" type="noConversion"/>
  </si>
  <si>
    <t>애큐온 6월분 (박은숙 수석)</t>
    <phoneticPr fontId="2" type="noConversion"/>
  </si>
  <si>
    <t>애큐온 6월분 (권장미 책임)</t>
    <phoneticPr fontId="2" type="noConversion"/>
  </si>
  <si>
    <t>브이스퀘어(신한) 선금20% 지급</t>
    <phoneticPr fontId="2" type="noConversion"/>
  </si>
  <si>
    <t xml:space="preserve">부가가치세 납부 (2021년 2분기) </t>
    <phoneticPr fontId="2" type="noConversion"/>
  </si>
  <si>
    <t xml:space="preserve">부가가치세 납부 (2021년 1분기) </t>
    <phoneticPr fontId="2" type="noConversion"/>
  </si>
  <si>
    <t>퀵 발송 (유컴패니온(매봉) -&gt; 신한DS, 모니터)</t>
    <phoneticPr fontId="2" type="noConversion"/>
  </si>
  <si>
    <t>퀵 발송 (유컴패니온(광화문) -&gt; 신한DS, 모니터)</t>
    <phoneticPr fontId="2" type="noConversion"/>
  </si>
  <si>
    <t>생일기프티콘 발송 (조이슬 선임)</t>
    <phoneticPr fontId="2" type="noConversion"/>
  </si>
  <si>
    <t>제플린 7월 사용료 (29달러)</t>
    <phoneticPr fontId="2" type="noConversion"/>
  </si>
  <si>
    <t>어도비 7월 사용료</t>
    <phoneticPr fontId="2" type="noConversion"/>
  </si>
  <si>
    <t>우편발송 (신한DS프로젝트 중간검수확인서)</t>
    <phoneticPr fontId="2" type="noConversion"/>
  </si>
  <si>
    <t>생일기프티콘 발송 (김슬기 전임)</t>
    <phoneticPr fontId="2" type="noConversion"/>
  </si>
  <si>
    <t>생일기프티콘 발송 (이민지 전임)</t>
    <phoneticPr fontId="2" type="noConversion"/>
  </si>
  <si>
    <t>광화문 11층 비품구매 (노트북랜선, A4용지, 휴지, 키보드, 마우스 , 수세미솔)</t>
    <phoneticPr fontId="2" type="noConversion"/>
  </si>
  <si>
    <t>7월 경비 사용 - 현창하 본부장</t>
    <phoneticPr fontId="2" type="noConversion"/>
  </si>
  <si>
    <t>7월 경비사용 - 권세희 책임</t>
    <phoneticPr fontId="2" type="noConversion"/>
  </si>
  <si>
    <t>7월 경비사용 - 경영기획팀</t>
    <phoneticPr fontId="2" type="noConversion"/>
  </si>
  <si>
    <t>박기준-야근식대</t>
    <phoneticPr fontId="2" type="noConversion"/>
  </si>
  <si>
    <t>이다희-주말출근 주차비</t>
    <phoneticPr fontId="2" type="noConversion"/>
  </si>
  <si>
    <t>박희선- 야근식대</t>
    <phoneticPr fontId="2" type="noConversion"/>
  </si>
  <si>
    <t>신호영 -야근교통비</t>
    <phoneticPr fontId="2" type="noConversion"/>
  </si>
  <si>
    <t>김은지-야근교통비</t>
    <phoneticPr fontId="2" type="noConversion"/>
  </si>
  <si>
    <t>이호성-야근교통비</t>
    <phoneticPr fontId="2" type="noConversion"/>
  </si>
  <si>
    <t>7/19 ~ 7/25</t>
    <phoneticPr fontId="2" type="noConversion"/>
  </si>
  <si>
    <t>엔지니어링 5월분 입금확인</t>
    <phoneticPr fontId="2" type="noConversion"/>
  </si>
  <si>
    <t>7/26 입금완료</t>
    <phoneticPr fontId="2" type="noConversion"/>
  </si>
  <si>
    <t>"</t>
    <phoneticPr fontId="2" type="noConversion"/>
  </si>
  <si>
    <t>대표님 장비구매 건 분할지급 (1,945,000원 / 6개월 -  1차지급)</t>
    <phoneticPr fontId="2" type="noConversion"/>
  </si>
  <si>
    <t>SK텔레콤- 7월운영</t>
    <phoneticPr fontId="2" type="noConversion"/>
  </si>
  <si>
    <t>미래에셋 보험료 6월분 (미납)</t>
    <phoneticPr fontId="2" type="noConversion"/>
  </si>
  <si>
    <t xml:space="preserve">신한은행 마이너스 통장 </t>
    <phoneticPr fontId="2" type="noConversion"/>
  </si>
  <si>
    <t>금액</t>
    <phoneticPr fontId="2" type="noConversion"/>
  </si>
  <si>
    <t>이체가능한금액</t>
    <phoneticPr fontId="2" type="noConversion"/>
  </si>
  <si>
    <t>이관금-장비이동 택시비</t>
    <phoneticPr fontId="2" type="noConversion"/>
  </si>
  <si>
    <t>.</t>
    <phoneticPr fontId="2" type="noConversion"/>
  </si>
  <si>
    <t>비상교육-마스터k b2b</t>
    <phoneticPr fontId="2" type="noConversion"/>
  </si>
  <si>
    <t>8/10 입금예정</t>
    <phoneticPr fontId="2" type="noConversion"/>
  </si>
  <si>
    <t xml:space="preserve">씨젠 - Overcomm 사이트 추가개발 잔금   </t>
    <phoneticPr fontId="2" type="noConversion"/>
  </si>
  <si>
    <t xml:space="preserve">씨젠 - ST STATS Site 리뉴얼 2차 잔금  </t>
    <phoneticPr fontId="2" type="noConversion"/>
  </si>
  <si>
    <t>SK브로드밴드 - 제휴DB 시스템 고도화 1차</t>
    <phoneticPr fontId="2" type="noConversion"/>
  </si>
  <si>
    <t>8/22 입금예정</t>
    <phoneticPr fontId="2" type="noConversion"/>
  </si>
  <si>
    <t>효성 - 7월 로그인페이지 제작건</t>
    <phoneticPr fontId="2" type="noConversion"/>
  </si>
  <si>
    <t>SK my suni 7월분</t>
    <phoneticPr fontId="2" type="noConversion"/>
  </si>
  <si>
    <t>남은수 - 계약서 등기발송료</t>
    <phoneticPr fontId="2" type="noConversion"/>
  </si>
  <si>
    <t>LX하우시스 웹진 리뉴얼 구축 잔금</t>
    <phoneticPr fontId="2" type="noConversion"/>
  </si>
  <si>
    <t>현대건설 사이버 감사실 개편 잔금</t>
    <phoneticPr fontId="2" type="noConversion"/>
  </si>
  <si>
    <t>9/21 입금예정</t>
    <phoneticPr fontId="2" type="noConversion"/>
  </si>
  <si>
    <t>엔지니어링 6월분 입금확인</t>
    <phoneticPr fontId="2" type="noConversion"/>
  </si>
  <si>
    <t>현대건설 6월분 입금확인</t>
    <phoneticPr fontId="2" type="noConversion"/>
  </si>
  <si>
    <t>현대건설 7월분 입금확인</t>
    <phoneticPr fontId="2" type="noConversion"/>
  </si>
  <si>
    <t>8/24 입금예정</t>
    <phoneticPr fontId="2" type="noConversion"/>
  </si>
  <si>
    <t>8/27 입금예정</t>
    <phoneticPr fontId="2" type="noConversion"/>
  </si>
  <si>
    <t>롯데카드 경비지급</t>
    <phoneticPr fontId="2" type="noConversion"/>
  </si>
  <si>
    <t>KT 통신요금 7월분 (인터넷 , IPTV)</t>
    <phoneticPr fontId="2" type="noConversion"/>
  </si>
  <si>
    <t>다인스케치 7월 명함 제작분 (7명)</t>
    <phoneticPr fontId="2" type="noConversion"/>
  </si>
  <si>
    <t>SK브로드밴드 운영 (개인홈페이지) 6월분</t>
    <phoneticPr fontId="2" type="noConversion"/>
  </si>
  <si>
    <t>오문석-야근교통비</t>
    <phoneticPr fontId="2" type="noConversion"/>
  </si>
  <si>
    <t>이현숙-야근교통비</t>
    <phoneticPr fontId="2" type="noConversion"/>
  </si>
  <si>
    <t>연용진-야근식대</t>
    <phoneticPr fontId="2" type="noConversion"/>
  </si>
  <si>
    <t>7월 경비사용 - 박정운 본부장</t>
    <phoneticPr fontId="2" type="noConversion"/>
  </si>
  <si>
    <t>법인카드 사용내역 (월 합계 확인용으로 합계에포함X)</t>
    <phoneticPr fontId="2" type="noConversion"/>
  </si>
  <si>
    <r>
      <rPr>
        <sz val="12"/>
        <rFont val="굴림"/>
        <family val="3"/>
        <charset val="129"/>
      </rPr>
      <t>권용환</t>
    </r>
    <r>
      <rPr>
        <sz val="12"/>
        <rFont val="나눔고딕"/>
        <family val="3"/>
        <charset val="129"/>
      </rPr>
      <t>-야근식대</t>
    </r>
    <phoneticPr fontId="2" type="noConversion"/>
  </si>
  <si>
    <r>
      <rPr>
        <b/>
        <sz val="12"/>
        <rFont val="굴림"/>
        <family val="3"/>
        <charset val="129"/>
      </rPr>
      <t>금</t>
    </r>
    <r>
      <rPr>
        <b/>
        <sz val="12"/>
        <rFont val="나눔고딕"/>
        <family val="3"/>
        <charset val="129"/>
      </rPr>
      <t>주 입금예정(7/</t>
    </r>
    <r>
      <rPr>
        <b/>
        <sz val="12"/>
        <rFont val="맑은 고딕"/>
        <family val="3"/>
        <charset val="129"/>
      </rPr>
      <t>26</t>
    </r>
    <r>
      <rPr>
        <b/>
        <sz val="12"/>
        <rFont val="나눔고딕"/>
        <family val="3"/>
        <charset val="129"/>
      </rPr>
      <t>~7/</t>
    </r>
    <r>
      <rPr>
        <b/>
        <sz val="12"/>
        <rFont val="맑은 고딕"/>
        <family val="3"/>
        <charset val="129"/>
      </rPr>
      <t>30</t>
    </r>
    <r>
      <rPr>
        <b/>
        <sz val="12"/>
        <rFont val="나눔고딕"/>
        <family val="3"/>
        <charset val="129"/>
      </rPr>
      <t>)</t>
    </r>
    <phoneticPr fontId="2" type="noConversion"/>
  </si>
  <si>
    <r>
      <rPr>
        <b/>
        <sz val="12"/>
        <rFont val="굴림"/>
        <family val="3"/>
        <charset val="129"/>
      </rPr>
      <t>금</t>
    </r>
    <r>
      <rPr>
        <b/>
        <sz val="12"/>
        <rFont val="나눔고딕"/>
        <family val="3"/>
        <charset val="129"/>
      </rPr>
      <t xml:space="preserve">주 </t>
    </r>
    <r>
      <rPr>
        <b/>
        <sz val="12"/>
        <rFont val="굴림"/>
        <family val="3"/>
        <charset val="129"/>
      </rPr>
      <t>출</t>
    </r>
    <r>
      <rPr>
        <b/>
        <sz val="12"/>
        <rFont val="나눔고딕"/>
        <family val="3"/>
        <charset val="129"/>
      </rPr>
      <t>금예정(7/</t>
    </r>
    <r>
      <rPr>
        <b/>
        <sz val="12"/>
        <rFont val="맑은 고딕"/>
        <family val="3"/>
        <charset val="129"/>
      </rPr>
      <t>26</t>
    </r>
    <r>
      <rPr>
        <b/>
        <sz val="12"/>
        <rFont val="나눔고딕"/>
        <family val="3"/>
        <charset val="129"/>
      </rPr>
      <t>~7/</t>
    </r>
    <r>
      <rPr>
        <b/>
        <sz val="12"/>
        <rFont val="맑은 고딕"/>
        <family val="3"/>
        <charset val="129"/>
      </rPr>
      <t>30</t>
    </r>
    <r>
      <rPr>
        <b/>
        <sz val="12"/>
        <rFont val="나눔고딕"/>
        <family val="3"/>
        <charset val="129"/>
      </rPr>
      <t>)</t>
    </r>
    <phoneticPr fontId="2" type="noConversion"/>
  </si>
  <si>
    <r>
      <rPr>
        <b/>
        <sz val="10"/>
        <rFont val="Segoe UI Symbol"/>
        <family val="3"/>
      </rPr>
      <t>■</t>
    </r>
    <r>
      <rPr>
        <b/>
        <sz val="10"/>
        <rFont val="나눔고딕"/>
        <family val="3"/>
        <charset val="129"/>
      </rPr>
      <t xml:space="preserve">발의일자 : 2021년     7 월   </t>
    </r>
    <r>
      <rPr>
        <b/>
        <sz val="10"/>
        <rFont val="굴림"/>
        <family val="3"/>
        <charset val="129"/>
      </rPr>
      <t>29</t>
    </r>
    <r>
      <rPr>
        <b/>
        <sz val="10"/>
        <rFont val="나눔고딕"/>
        <family val="3"/>
        <charset val="129"/>
      </rPr>
      <t xml:space="preserve">  일                                                                                                                  </t>
    </r>
    <phoneticPr fontId="2" type="noConversion"/>
  </si>
  <si>
    <r>
      <t>차주 입금예정(</t>
    </r>
    <r>
      <rPr>
        <b/>
        <sz val="12"/>
        <rFont val="굴림"/>
        <family val="3"/>
        <charset val="129"/>
      </rPr>
      <t>8</t>
    </r>
    <r>
      <rPr>
        <b/>
        <sz val="12"/>
        <rFont val="나눔고딕"/>
        <family val="3"/>
        <charset val="129"/>
      </rPr>
      <t>/</t>
    </r>
    <r>
      <rPr>
        <b/>
        <sz val="12"/>
        <rFont val="맑은 고딕"/>
        <family val="3"/>
        <charset val="129"/>
      </rPr>
      <t>2</t>
    </r>
    <r>
      <rPr>
        <b/>
        <sz val="12"/>
        <rFont val="나눔고딕"/>
        <family val="3"/>
        <charset val="129"/>
      </rPr>
      <t>~</t>
    </r>
    <r>
      <rPr>
        <b/>
        <sz val="12"/>
        <rFont val="맑은 고딕"/>
        <family val="3"/>
        <charset val="129"/>
      </rPr>
      <t>8</t>
    </r>
    <r>
      <rPr>
        <b/>
        <sz val="12"/>
        <rFont val="나눔고딕"/>
        <family val="3"/>
        <charset val="129"/>
      </rPr>
      <t>/</t>
    </r>
    <r>
      <rPr>
        <b/>
        <sz val="12"/>
        <rFont val="맑은 고딕"/>
        <family val="3"/>
        <charset val="129"/>
      </rPr>
      <t>6</t>
    </r>
    <r>
      <rPr>
        <b/>
        <sz val="12"/>
        <rFont val="나눔고딕"/>
        <family val="3"/>
        <charset val="129"/>
      </rPr>
      <t>)</t>
    </r>
    <phoneticPr fontId="2" type="noConversion"/>
  </si>
  <si>
    <r>
      <t xml:space="preserve">차주 </t>
    </r>
    <r>
      <rPr>
        <b/>
        <sz val="12"/>
        <rFont val="굴림"/>
        <family val="3"/>
        <charset val="129"/>
      </rPr>
      <t>출</t>
    </r>
    <r>
      <rPr>
        <b/>
        <sz val="12"/>
        <rFont val="나눔고딕"/>
        <family val="3"/>
        <charset val="129"/>
      </rPr>
      <t>금예정(</t>
    </r>
    <r>
      <rPr>
        <b/>
        <sz val="12"/>
        <rFont val="굴림"/>
        <family val="3"/>
        <charset val="129"/>
      </rPr>
      <t>8</t>
    </r>
    <r>
      <rPr>
        <b/>
        <sz val="12"/>
        <rFont val="나눔고딕"/>
        <family val="3"/>
        <charset val="129"/>
      </rPr>
      <t>/</t>
    </r>
    <r>
      <rPr>
        <b/>
        <sz val="12"/>
        <rFont val="맑은 고딕"/>
        <family val="3"/>
        <charset val="129"/>
      </rPr>
      <t>2</t>
    </r>
    <r>
      <rPr>
        <b/>
        <sz val="12"/>
        <rFont val="나눔고딕"/>
        <family val="3"/>
        <charset val="129"/>
      </rPr>
      <t>~</t>
    </r>
    <r>
      <rPr>
        <b/>
        <sz val="12"/>
        <rFont val="맑은 고딕"/>
        <family val="3"/>
        <charset val="129"/>
      </rPr>
      <t>8</t>
    </r>
    <r>
      <rPr>
        <b/>
        <sz val="12"/>
        <rFont val="나눔고딕"/>
        <family val="3"/>
        <charset val="129"/>
      </rPr>
      <t>/</t>
    </r>
    <r>
      <rPr>
        <b/>
        <sz val="12"/>
        <rFont val="맑은 고딕"/>
        <family val="3"/>
        <charset val="129"/>
      </rPr>
      <t>6</t>
    </r>
    <r>
      <rPr>
        <b/>
        <sz val="12"/>
        <rFont val="나눔고딕"/>
        <family val="3"/>
        <charset val="129"/>
      </rPr>
      <t>)</t>
    </r>
    <phoneticPr fontId="2" type="noConversion"/>
  </si>
  <si>
    <r>
      <t xml:space="preserve">파이브링크 - 현대엔지니어링 </t>
    </r>
    <r>
      <rPr>
        <sz val="12"/>
        <rFont val="맑은 고딕"/>
        <family val="3"/>
        <charset val="129"/>
      </rPr>
      <t>5</t>
    </r>
    <r>
      <rPr>
        <sz val="12"/>
        <rFont val="나눔고딕"/>
        <family val="3"/>
        <charset val="129"/>
      </rPr>
      <t>월분</t>
    </r>
    <phoneticPr fontId="2" type="noConversion"/>
  </si>
  <si>
    <t>8/15 입금예정</t>
    <phoneticPr fontId="2" type="noConversion"/>
  </si>
  <si>
    <t>진학어플라이_부경대학교 입학홈페이지 연간 유지보수 1차</t>
    <phoneticPr fontId="2" type="noConversion"/>
  </si>
  <si>
    <t>진학어플라이_세종대학교 입학사이트 유지보수 및 신청페이지 유지관리 1차</t>
    <phoneticPr fontId="2" type="noConversion"/>
  </si>
  <si>
    <t>엔지니어링 7월분 입금확인</t>
    <phoneticPr fontId="2" type="noConversion"/>
  </si>
  <si>
    <t>신한DS-차세대 교육 플랫폼 중도금</t>
    <phoneticPr fontId="2" type="noConversion"/>
  </si>
  <si>
    <t>7/30 입금완료</t>
    <phoneticPr fontId="2" type="noConversion"/>
  </si>
  <si>
    <t>7/26 ~ 7/30</t>
    <phoneticPr fontId="2" type="noConversion"/>
  </si>
  <si>
    <t>신한은행 대출이자 납부</t>
    <phoneticPr fontId="2" type="noConversion"/>
  </si>
  <si>
    <t>우리(주거래) 출금</t>
    <phoneticPr fontId="2" type="noConversion"/>
  </si>
  <si>
    <t>"</t>
    <phoneticPr fontId="2" type="noConversion"/>
  </si>
  <si>
    <t>농협 카드대금 납부(현창하 본부장님 사용)</t>
    <phoneticPr fontId="2" type="noConversion"/>
  </si>
  <si>
    <t>농협 카드대금 납부(박정운 본부장님 사용)</t>
    <phoneticPr fontId="2" type="noConversion"/>
  </si>
  <si>
    <t>우리 카드대금  납부 (하이패스)</t>
    <phoneticPr fontId="2" type="noConversion"/>
  </si>
  <si>
    <t>차인금액</t>
    <phoneticPr fontId="2" type="noConversion"/>
  </si>
  <si>
    <t>7월 직원급여</t>
  </si>
  <si>
    <t>조영일 감사 - 7월 프리급여</t>
  </si>
  <si>
    <t>박영일 - 7월 프리급여 (본사-개발이사)</t>
  </si>
  <si>
    <t>이송하 - 7월 프리급여 (본사)</t>
  </si>
  <si>
    <t>권호성 - 7월 프리급여(본사)</t>
  </si>
  <si>
    <t>이우진 - 7월 프리급여 (현대캐피탈)</t>
  </si>
  <si>
    <t>옥미영 - 7월 프리급여 (현대캐피탈)</t>
  </si>
  <si>
    <t>박승철 - 7월 프리급여 (현대캐피탈)</t>
  </si>
  <si>
    <t>정수미 - 7월 프리급여 (현대캐피탈)</t>
  </si>
  <si>
    <t>나연수 - 7월 프리급여 (롯데카드)</t>
  </si>
  <si>
    <t>유수현 - 7월 프리급여 (롯데카드)</t>
  </si>
  <si>
    <t>오은정 - 7월 프리급여 (롯데카드)</t>
  </si>
  <si>
    <t>채지은 - 7월 프리급여 (롯데카드)</t>
  </si>
  <si>
    <t>조찬기 - 7월 프리급여 (롯데카드)</t>
  </si>
  <si>
    <t>김태형 - 7월 프리급여 (비상마스터K)</t>
  </si>
  <si>
    <t>알티시스템- 롯데카드 박정용 (7월분)</t>
  </si>
  <si>
    <t>케이아이소프트 - SKBB 임화수 (7월분)</t>
    <phoneticPr fontId="2" type="noConversion"/>
  </si>
  <si>
    <t>강연웅 - 7월 프리급여(삼성화재)</t>
    <phoneticPr fontId="2" type="noConversion"/>
  </si>
  <si>
    <t xml:space="preserve">브이게이트 - SKB 제휴 DB 시스템 고도화 </t>
    <phoneticPr fontId="2" type="noConversion"/>
  </si>
  <si>
    <t>김병규 - 7월 프리급여(SKBB)</t>
    <phoneticPr fontId="2" type="noConversion"/>
  </si>
  <si>
    <t>김민욱 - 7월 프리급여(SKBB)</t>
    <phoneticPr fontId="2" type="noConversion"/>
  </si>
  <si>
    <t>조명상 - 7월 프리급여(SKBB)</t>
    <phoneticPr fontId="2" type="noConversion"/>
  </si>
  <si>
    <t xml:space="preserve">유네스아이 - 신한교육플랫폼 윤운용 (7월분) </t>
    <phoneticPr fontId="2" type="noConversion"/>
  </si>
  <si>
    <t>연용진 - 7월 프리급여(SKBB)</t>
    <phoneticPr fontId="2" type="noConversion"/>
  </si>
  <si>
    <t>7/1 투입</t>
    <phoneticPr fontId="2" type="noConversion"/>
  </si>
  <si>
    <t>박정환 - 7월 프리급여( 신한교육플랫폼)</t>
    <phoneticPr fontId="2" type="noConversion"/>
  </si>
  <si>
    <t>7/19 투입 8,000,000원 중 13일 일할계산</t>
    <phoneticPr fontId="2" type="noConversion"/>
  </si>
  <si>
    <t>7/19 투입  6,700,000원 중 13일 일할계산</t>
    <phoneticPr fontId="2" type="noConversion"/>
  </si>
  <si>
    <t>신지호 - 7월 프리급여( 신한교육플랫폼)</t>
    <phoneticPr fontId="2" type="noConversion"/>
  </si>
  <si>
    <t>정세원 - 7월 프리급여( 신한교육플랫폼)</t>
    <phoneticPr fontId="2" type="noConversion"/>
  </si>
  <si>
    <t>김하나-  7월 프리급여(SKBB)</t>
    <phoneticPr fontId="2" type="noConversion"/>
  </si>
  <si>
    <t>중랑구청 운영 7월분</t>
    <phoneticPr fontId="2" type="noConversion"/>
  </si>
  <si>
    <t>현대건설 사이버 감사실 개편 중도금</t>
    <phoneticPr fontId="2" type="noConversion"/>
  </si>
  <si>
    <t xml:space="preserve">한림건설 - 힐스테이트 초곡 분양홈페이지 및 VR촬영 </t>
    <phoneticPr fontId="2" type="noConversion"/>
  </si>
  <si>
    <t>8/16 입금예정</t>
    <phoneticPr fontId="2" type="noConversion"/>
  </si>
  <si>
    <t>9/24 입금예정</t>
    <phoneticPr fontId="2" type="noConversion"/>
  </si>
  <si>
    <t>9/23 입금예정</t>
    <phoneticPr fontId="2" type="noConversion"/>
  </si>
  <si>
    <t>뱅크웨어(현대스탁론) 7월분 입금확인</t>
    <phoneticPr fontId="2" type="noConversion"/>
  </si>
  <si>
    <t>뱅크웨어(라인뱅크) 7월분 입금확인</t>
    <phoneticPr fontId="2" type="noConversion"/>
  </si>
  <si>
    <t>8/25 입금예정</t>
    <phoneticPr fontId="2" type="noConversion"/>
  </si>
  <si>
    <t>아이온(LGCNS인력투입) 7월분 입금확인</t>
    <phoneticPr fontId="2" type="noConversion"/>
  </si>
  <si>
    <t>현대건설 - 평촌 트리지아 티저홈페이지 제작 및 관리대행</t>
    <phoneticPr fontId="2" type="noConversion"/>
  </si>
  <si>
    <t>8/6 입금예정</t>
    <phoneticPr fontId="2" type="noConversion"/>
  </si>
  <si>
    <t>SK - 안양준 이사님 건</t>
    <phoneticPr fontId="2" type="noConversion"/>
  </si>
  <si>
    <t>이송하 - 경조사비 (결혼)</t>
    <phoneticPr fontId="2" type="noConversion"/>
  </si>
  <si>
    <t>박영일 - 경조사비 (자녀돌)</t>
    <phoneticPr fontId="2" type="noConversion"/>
  </si>
  <si>
    <t>7월분 건강보험료</t>
    <phoneticPr fontId="2" type="noConversion"/>
  </si>
  <si>
    <t>7월분 연금보험료</t>
  </si>
  <si>
    <t>7월분 고용보험료</t>
  </si>
  <si>
    <t>7월분 산재보험료</t>
  </si>
  <si>
    <t>아이파트너즈(SKB) 개발 인력 대금 지급</t>
    <phoneticPr fontId="2" type="noConversion"/>
  </si>
  <si>
    <t>신한DS프로젝트 경비입금</t>
    <phoneticPr fontId="2" type="noConversion"/>
  </si>
  <si>
    <t>7월 퇴직연금</t>
    <phoneticPr fontId="2" type="noConversion"/>
  </si>
  <si>
    <t>제이플러스파트너즈 - LG CNS김동민 (7월분)</t>
    <phoneticPr fontId="2" type="noConversion"/>
  </si>
  <si>
    <t>제이플러스파트너즈 - SK하이닉스  (3% 수수료제외)</t>
    <phoneticPr fontId="2" type="noConversion"/>
  </si>
  <si>
    <t>이우진 - 8월 프리급여 (현대캐피탈)</t>
    <phoneticPr fontId="2" type="noConversion"/>
  </si>
  <si>
    <t>8월2일 종료 / 2일 일할계산</t>
    <phoneticPr fontId="2" type="noConversion"/>
  </si>
  <si>
    <t xml:space="preserve">애큐온저축은행 업무운영 인력투입 7월분(박은숙) </t>
    <phoneticPr fontId="2" type="noConversion"/>
  </si>
  <si>
    <r>
      <t xml:space="preserve">김하나-  </t>
    </r>
    <r>
      <rPr>
        <sz val="12"/>
        <rFont val="맑은 고딕"/>
        <family val="3"/>
        <charset val="129"/>
      </rPr>
      <t>8</t>
    </r>
    <r>
      <rPr>
        <sz val="12"/>
        <rFont val="나눔고딕"/>
        <family val="3"/>
        <charset val="129"/>
      </rPr>
      <t>월 프리급여(SKBB)</t>
    </r>
    <phoneticPr fontId="2" type="noConversion"/>
  </si>
  <si>
    <r>
      <t>8월</t>
    </r>
    <r>
      <rPr>
        <sz val="12"/>
        <color theme="1"/>
        <rFont val="굴림체"/>
        <family val="3"/>
        <charset val="129"/>
      </rPr>
      <t>4</t>
    </r>
    <r>
      <rPr>
        <sz val="12"/>
        <color theme="1"/>
        <rFont val="나눔고딕"/>
        <family val="3"/>
        <charset val="129"/>
      </rPr>
      <t xml:space="preserve">일 종료 / </t>
    </r>
    <r>
      <rPr>
        <sz val="12"/>
        <color theme="1"/>
        <rFont val="굴림체"/>
        <family val="3"/>
        <charset val="129"/>
      </rPr>
      <t>4</t>
    </r>
    <r>
      <rPr>
        <sz val="12"/>
        <color theme="1"/>
        <rFont val="나눔고딕"/>
        <family val="3"/>
        <charset val="129"/>
      </rPr>
      <t>일 일할계산</t>
    </r>
    <phoneticPr fontId="2" type="noConversion"/>
  </si>
  <si>
    <t>SK브로드밴드 운영 (기업홈페이지) 7월분</t>
    <phoneticPr fontId="2" type="noConversion"/>
  </si>
  <si>
    <t>구루미 - 삼성화재 영업 화상상담 서비스 구축 프로젝트 착수금</t>
    <phoneticPr fontId="2" type="noConversion"/>
  </si>
  <si>
    <t>"</t>
    <phoneticPr fontId="2" type="noConversion"/>
  </si>
  <si>
    <t>8/31 입금예정</t>
    <phoneticPr fontId="2" type="noConversion"/>
  </si>
  <si>
    <t xml:space="preserve">■발의일자 : 2021년     8 월   6  일                                                                                                                  </t>
    <phoneticPr fontId="2" type="noConversion"/>
  </si>
  <si>
    <t>미래에셋 보험료 7월분 (미납)</t>
    <phoneticPr fontId="2" type="noConversion"/>
  </si>
  <si>
    <t>8/6 입금완료</t>
    <phoneticPr fontId="2" type="noConversion"/>
  </si>
  <si>
    <t xml:space="preserve">미래에셋 보험료 8월분 </t>
    <phoneticPr fontId="2" type="noConversion"/>
  </si>
  <si>
    <t>7월 퇴직연금 (박영일이사님 1~6월 산정분)</t>
    <phoneticPr fontId="2" type="noConversion"/>
  </si>
  <si>
    <t>8/1 ~ 8/8</t>
    <phoneticPr fontId="2" type="noConversion"/>
  </si>
  <si>
    <r>
      <rPr>
        <b/>
        <sz val="12"/>
        <rFont val="굴림"/>
        <family val="3"/>
        <charset val="129"/>
      </rPr>
      <t>금</t>
    </r>
    <r>
      <rPr>
        <b/>
        <sz val="12"/>
        <rFont val="나눔고딕"/>
        <family val="3"/>
        <charset val="129"/>
      </rPr>
      <t>주 입금예정(8/</t>
    </r>
    <r>
      <rPr>
        <b/>
        <sz val="12"/>
        <rFont val="맑은 고딕"/>
        <family val="3"/>
        <charset val="129"/>
      </rPr>
      <t>2</t>
    </r>
    <r>
      <rPr>
        <b/>
        <sz val="12"/>
        <rFont val="나눔고딕"/>
        <family val="3"/>
        <charset val="129"/>
      </rPr>
      <t>~8/6)</t>
    </r>
    <phoneticPr fontId="2" type="noConversion"/>
  </si>
  <si>
    <t>금주 입금예정(8/2~8/6)</t>
  </si>
  <si>
    <r>
      <t>차주 입금예정(</t>
    </r>
    <r>
      <rPr>
        <b/>
        <sz val="12"/>
        <rFont val="굴림"/>
        <family val="3"/>
        <charset val="129"/>
      </rPr>
      <t>8</t>
    </r>
    <r>
      <rPr>
        <b/>
        <sz val="12"/>
        <rFont val="나눔고딕"/>
        <family val="3"/>
        <charset val="129"/>
      </rPr>
      <t>/9~</t>
    </r>
    <r>
      <rPr>
        <b/>
        <sz val="12"/>
        <rFont val="맑은 고딕"/>
        <family val="3"/>
        <charset val="129"/>
      </rPr>
      <t>8</t>
    </r>
    <r>
      <rPr>
        <b/>
        <sz val="12"/>
        <rFont val="나눔고딕"/>
        <family val="3"/>
        <charset val="129"/>
      </rPr>
      <t>/13)</t>
    </r>
    <phoneticPr fontId="2" type="noConversion"/>
  </si>
  <si>
    <r>
      <t xml:space="preserve">차주 </t>
    </r>
    <r>
      <rPr>
        <b/>
        <sz val="12"/>
        <rFont val="굴림"/>
        <family val="3"/>
        <charset val="129"/>
      </rPr>
      <t>출</t>
    </r>
    <r>
      <rPr>
        <b/>
        <sz val="12"/>
        <rFont val="나눔고딕"/>
        <family val="3"/>
        <charset val="129"/>
      </rPr>
      <t>금예정(</t>
    </r>
    <r>
      <rPr>
        <b/>
        <sz val="12"/>
        <rFont val="굴림"/>
        <family val="3"/>
        <charset val="129"/>
      </rPr>
      <t>8</t>
    </r>
    <r>
      <rPr>
        <b/>
        <sz val="12"/>
        <rFont val="나눔고딕"/>
        <family val="3"/>
        <charset val="129"/>
      </rPr>
      <t>/9~</t>
    </r>
    <r>
      <rPr>
        <b/>
        <sz val="12"/>
        <rFont val="맑은 고딕"/>
        <family val="3"/>
        <charset val="129"/>
      </rPr>
      <t>8</t>
    </r>
    <r>
      <rPr>
        <b/>
        <sz val="12"/>
        <rFont val="나눔고딕"/>
        <family val="3"/>
        <charset val="129"/>
      </rPr>
      <t>/13)</t>
    </r>
    <phoneticPr fontId="2" type="noConversion"/>
  </si>
  <si>
    <t>8/13 입금예정</t>
    <phoneticPr fontId="2" type="noConversion"/>
  </si>
  <si>
    <t>8/5 입금완료</t>
    <phoneticPr fontId="2" type="noConversion"/>
  </si>
  <si>
    <t>9/22 입금예정</t>
    <phoneticPr fontId="2" type="noConversion"/>
  </si>
  <si>
    <t>호</t>
    <phoneticPr fontId="2" type="noConversion"/>
  </si>
  <si>
    <t>8/9 입금완료</t>
    <phoneticPr fontId="2" type="noConversion"/>
  </si>
  <si>
    <t>1년 미만자 퇴직금 반환 (강우재) - 퇴직연금</t>
    <phoneticPr fontId="2" type="noConversion"/>
  </si>
  <si>
    <t>7월 직원급여 (한수진 대표님)</t>
    <phoneticPr fontId="2" type="noConversion"/>
  </si>
  <si>
    <t>8/ 31 지급예정</t>
    <phoneticPr fontId="2" type="noConversion"/>
  </si>
  <si>
    <t>8/10 입금완료</t>
    <phoneticPr fontId="2" type="noConversion"/>
  </si>
  <si>
    <t>삼성화재 경비입금</t>
    <phoneticPr fontId="2" type="noConversion"/>
  </si>
  <si>
    <t>신한은행 대출이자 납부</t>
    <phoneticPr fontId="2" type="noConversion"/>
  </si>
  <si>
    <t>8/13 입금완료</t>
    <phoneticPr fontId="2" type="noConversion"/>
  </si>
  <si>
    <t>"</t>
    <phoneticPr fontId="2" type="noConversion"/>
  </si>
  <si>
    <t>SK브로드밴드 운영 (다이렉트샵/온라인청약시스템) 7월분</t>
    <phoneticPr fontId="2" type="noConversion"/>
  </si>
  <si>
    <t>SK브로드밴드 운영 (B TV / B TV 케이블 콘텐츠) 7월분</t>
    <phoneticPr fontId="2" type="noConversion"/>
  </si>
  <si>
    <t>21년 7월 다이렉트샵 모바일웹 퍼블리싱 운영 강화</t>
    <phoneticPr fontId="2" type="noConversion"/>
  </si>
  <si>
    <t>21년 7월 다이렉트샵 모바일웹 디자인 운영 강화</t>
    <phoneticPr fontId="2" type="noConversion"/>
  </si>
  <si>
    <t>21년 7월 다이렉트샵 모바일웹 기획 및 개발 운영 강화</t>
    <phoneticPr fontId="2" type="noConversion"/>
  </si>
  <si>
    <t xml:space="preserve">■발의일자 : 2021년     8 월   13  일                                                                                                                  </t>
    <phoneticPr fontId="2" type="noConversion"/>
  </si>
  <si>
    <t>"</t>
    <phoneticPr fontId="2" type="noConversion"/>
  </si>
  <si>
    <t>8/9 ~ 8/15</t>
    <phoneticPr fontId="2" type="noConversion"/>
  </si>
  <si>
    <t>8/17 출금예정</t>
    <phoneticPr fontId="2" type="noConversion"/>
  </si>
  <si>
    <t>농협은행 대출이자 납부</t>
    <phoneticPr fontId="2" type="noConversion"/>
  </si>
  <si>
    <t>8/20 출금예정</t>
    <phoneticPr fontId="2" type="noConversion"/>
  </si>
  <si>
    <t>"</t>
    <phoneticPr fontId="2" type="noConversion"/>
  </si>
  <si>
    <t>엘지디스커버리랩 - 2021년 LG디스커버리랩 웹 서비스 신규 구축 사업 선금</t>
    <phoneticPr fontId="2" type="noConversion"/>
  </si>
  <si>
    <r>
      <rPr>
        <b/>
        <sz val="12"/>
        <rFont val="굴림"/>
        <family val="3"/>
        <charset val="129"/>
      </rPr>
      <t>금</t>
    </r>
    <r>
      <rPr>
        <b/>
        <sz val="12"/>
        <rFont val="나눔고딕"/>
        <family val="3"/>
        <charset val="129"/>
      </rPr>
      <t>주 입금예정(8/9~8/13)</t>
    </r>
    <phoneticPr fontId="2" type="noConversion"/>
  </si>
  <si>
    <t>금주 출금예정(8/9~8/13)</t>
    <phoneticPr fontId="2" type="noConversion"/>
  </si>
  <si>
    <t>차주 입금예정(8/16~8/20)</t>
    <phoneticPr fontId="2" type="noConversion"/>
  </si>
  <si>
    <t>차주 출금예정(8/16~8/20)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</si>
</sst>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mm&quot;월&quot;\ dd&quot;일&quot;"/>
    <numFmt numFmtId="177" formatCode="#,##0_ ;[Red]\-#,##0\ "/>
    <numFmt numFmtId="178" formatCode="#,##0_ "/>
    <numFmt numFmtId="179" formatCode="0_);[Red]\(0\)"/>
  </numFmts>
  <fonts count="28">
    <font>
      <sz val="11"/>
      <name val="굴림체"/>
      <family val="3"/>
      <charset val="129"/>
    </font>
    <font>
      <sz val="11"/>
      <name val="굴림체"/>
      <family val="3"/>
      <charset val="129"/>
    </font>
    <font>
      <sz val="8"/>
      <name val="굴림체"/>
      <family val="3"/>
      <charset val="129"/>
    </font>
    <font>
      <b/>
      <sz val="18"/>
      <color theme="1" tint="0.499984740745262"/>
      <name val="나눔고딕"/>
      <family val="3"/>
      <charset val="129"/>
    </font>
    <font>
      <b/>
      <sz val="10"/>
      <name val="나눔고딕"/>
      <family val="3"/>
      <charset val="129"/>
    </font>
    <font>
      <sz val="10"/>
      <name val="나눔고딕"/>
      <family val="3"/>
      <charset val="129"/>
    </font>
    <font>
      <sz val="11"/>
      <name val="나눔고딕"/>
      <family val="3"/>
      <charset val="129"/>
    </font>
    <font>
      <sz val="10"/>
      <color theme="1"/>
      <name val="나눔고딕"/>
      <family val="3"/>
      <charset val="129"/>
    </font>
    <font>
      <sz val="10"/>
      <color theme="0" tint="-0.34998626667073579"/>
      <name val="나눔고딕"/>
      <family val="3"/>
      <charset val="129"/>
    </font>
    <font>
      <sz val="11"/>
      <name val="맑은 고딕"/>
      <family val="3"/>
      <charset val="129"/>
      <scheme val="major"/>
    </font>
    <font>
      <sz val="10"/>
      <color rgb="FF000000"/>
      <name val="나눔고딕"/>
      <family val="3"/>
      <charset val="129"/>
    </font>
    <font>
      <b/>
      <sz val="18"/>
      <color theme="1"/>
      <name val="나눔고딕"/>
      <family val="3"/>
      <charset val="129"/>
    </font>
    <font>
      <b/>
      <sz val="12"/>
      <name val="나눔고딕"/>
      <family val="3"/>
      <charset val="129"/>
    </font>
    <font>
      <sz val="10"/>
      <name val="굴림체"/>
      <family val="3"/>
      <charset val="129"/>
    </font>
    <font>
      <sz val="11"/>
      <color theme="1"/>
      <name val="나눔고딕"/>
      <family val="3"/>
      <charset val="129"/>
    </font>
    <font>
      <sz val="12"/>
      <name val="나눔고딕"/>
      <family val="3"/>
      <charset val="129"/>
    </font>
    <font>
      <sz val="12"/>
      <color rgb="FF000000"/>
      <name val="나눔고딕"/>
      <family val="3"/>
      <charset val="129"/>
    </font>
    <font>
      <sz val="12"/>
      <color theme="0" tint="-0.34998626667073579"/>
      <name val="나눔고딕"/>
      <family val="3"/>
      <charset val="129"/>
    </font>
    <font>
      <sz val="12"/>
      <color theme="1"/>
      <name val="나눔고딕"/>
      <family val="3"/>
      <charset val="129"/>
    </font>
    <font>
      <b/>
      <sz val="10"/>
      <name val="Segoe UI Symbol"/>
      <family val="3"/>
    </font>
    <font>
      <b/>
      <sz val="10"/>
      <name val="맑은 고딕"/>
      <family val="3"/>
      <charset val="129"/>
    </font>
    <font>
      <b/>
      <sz val="12"/>
      <name val="맑은 고딕"/>
      <family val="3"/>
      <charset val="129"/>
    </font>
    <font>
      <sz val="12"/>
      <name val="맑은 고딕"/>
      <family val="3"/>
      <charset val="129"/>
    </font>
    <font>
      <sz val="12"/>
      <name val="굴림"/>
      <family val="3"/>
      <charset val="129"/>
    </font>
    <font>
      <b/>
      <sz val="12"/>
      <name val="굴림"/>
      <family val="3"/>
      <charset val="129"/>
    </font>
    <font>
      <b/>
      <sz val="10"/>
      <name val="굴림"/>
      <family val="3"/>
      <charset val="129"/>
    </font>
    <font>
      <sz val="12"/>
      <color theme="1"/>
      <name val="굴림체"/>
      <family val="3"/>
      <charset val="129"/>
    </font>
    <font>
      <sz val="12"/>
      <color rgb="FFFF0000"/>
      <name val="나눔고딕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</fills>
  <borders count="17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auto="1"/>
      </bottom>
      <diagonal/>
    </border>
    <border>
      <left/>
      <right/>
      <top style="hair">
        <color indexed="64"/>
      </top>
      <bottom style="double">
        <color auto="1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/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hair">
        <color indexed="64"/>
      </left>
      <right/>
      <top style="medium">
        <color rgb="FF000000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rgb="FF000000"/>
      </top>
      <bottom style="hair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hair">
        <color indexed="64"/>
      </bottom>
      <diagonal/>
    </border>
    <border>
      <left style="hair">
        <color indexed="64"/>
      </left>
      <right style="medium">
        <color rgb="FF000000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rgb="FF000000"/>
      </right>
      <top/>
      <bottom style="hair">
        <color indexed="64"/>
      </bottom>
      <diagonal/>
    </border>
    <border>
      <left/>
      <right style="medium">
        <color rgb="FF000000"/>
      </right>
      <top style="hair">
        <color indexed="64"/>
      </top>
      <bottom style="hair">
        <color indexed="64"/>
      </bottom>
      <diagonal/>
    </border>
    <border>
      <left style="medium">
        <color rgb="FF000000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rgb="FF000000"/>
      </right>
      <top style="hair">
        <color indexed="64"/>
      </top>
      <bottom/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/>
      <bottom/>
      <diagonal/>
    </border>
    <border>
      <left style="hair">
        <color indexed="64"/>
      </left>
      <right style="medium">
        <color rgb="FF000000"/>
      </right>
      <top style="hair">
        <color indexed="64"/>
      </top>
      <bottom/>
      <diagonal/>
    </border>
    <border>
      <left style="hair">
        <color indexed="64"/>
      </left>
      <right style="medium">
        <color rgb="FF000000"/>
      </right>
      <top style="thin">
        <color indexed="64"/>
      </top>
      <bottom style="hair">
        <color indexed="64"/>
      </bottom>
      <diagonal/>
    </border>
    <border>
      <left/>
      <right style="medium">
        <color rgb="FF000000"/>
      </right>
      <top/>
      <bottom/>
      <diagonal/>
    </border>
    <border>
      <left style="hair">
        <color indexed="64"/>
      </left>
      <right/>
      <top style="double">
        <color indexed="64"/>
      </top>
      <bottom style="medium">
        <color rgb="FF000000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medium">
        <color rgb="FF000000"/>
      </bottom>
      <diagonal/>
    </border>
    <border>
      <left/>
      <right style="medium">
        <color rgb="FF000000"/>
      </right>
      <top style="double">
        <color auto="1"/>
      </top>
      <bottom style="medium">
        <color rgb="FF000000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rgb="FF000000"/>
      </right>
      <top style="thin">
        <color indexed="64"/>
      </top>
      <bottom style="double">
        <color indexed="64"/>
      </bottom>
      <diagonal/>
    </border>
    <border>
      <left style="medium">
        <color rgb="FF000000"/>
      </left>
      <right/>
      <top style="hair">
        <color indexed="64"/>
      </top>
      <bottom style="hair">
        <color indexed="64"/>
      </bottom>
      <diagonal/>
    </border>
    <border>
      <left style="medium">
        <color rgb="FF000000"/>
      </left>
      <right/>
      <top style="hair">
        <color indexed="64"/>
      </top>
      <bottom style="double">
        <color auto="1"/>
      </bottom>
      <diagonal/>
    </border>
    <border>
      <left/>
      <right style="medium">
        <color rgb="FF000000"/>
      </right>
      <top style="hair">
        <color indexed="64"/>
      </top>
      <bottom style="double">
        <color auto="1"/>
      </bottom>
      <diagonal/>
    </border>
    <border>
      <left style="medium">
        <color rgb="FF000000"/>
      </left>
      <right/>
      <top style="double">
        <color indexed="64"/>
      </top>
      <bottom style="medium">
        <color rgb="FF000000"/>
      </bottom>
      <diagonal/>
    </border>
    <border>
      <left/>
      <right/>
      <top style="double">
        <color indexed="64"/>
      </top>
      <bottom style="medium">
        <color rgb="FF000000"/>
      </bottom>
      <diagonal/>
    </border>
    <border>
      <left style="medium">
        <color rgb="FF000000"/>
      </left>
      <right/>
      <top style="hair">
        <color indexed="64"/>
      </top>
      <bottom/>
      <diagonal/>
    </border>
    <border>
      <left style="medium">
        <color rgb="FF000000"/>
      </left>
      <right/>
      <top style="thin">
        <color indexed="64"/>
      </top>
      <bottom style="hair">
        <color indexed="64"/>
      </bottom>
      <diagonal/>
    </border>
    <border>
      <left/>
      <right style="medium">
        <color rgb="FF000000"/>
      </right>
      <top style="thin">
        <color indexed="64"/>
      </top>
      <bottom style="hair">
        <color indexed="64"/>
      </bottom>
      <diagonal/>
    </border>
    <border>
      <left/>
      <right style="medium">
        <color rgb="FF000000"/>
      </right>
      <top style="hair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medium">
        <color rgb="FF000000"/>
      </bottom>
      <diagonal/>
    </border>
    <border>
      <left/>
      <right/>
      <top style="medium">
        <color rgb="FF000000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double">
        <color indexed="64"/>
      </top>
      <bottom style="medium">
        <color rgb="FF000000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</cellStyleXfs>
  <cellXfs count="867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0" xfId="0" applyAlignment="1">
      <alignment vertical="top"/>
    </xf>
    <xf numFmtId="41" fontId="5" fillId="0" borderId="5" xfId="1" applyFont="1" applyFill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41" fontId="5" fillId="0" borderId="3" xfId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3" fontId="10" fillId="5" borderId="5" xfId="0" applyNumberFormat="1" applyFont="1" applyFill="1" applyBorder="1" applyAlignment="1">
      <alignment horizontal="right" vertical="center"/>
    </xf>
    <xf numFmtId="3" fontId="10" fillId="5" borderId="3" xfId="0" applyNumberFormat="1" applyFont="1" applyFill="1" applyBorder="1" applyAlignment="1">
      <alignment horizontal="right" vertical="center"/>
    </xf>
    <xf numFmtId="0" fontId="10" fillId="0" borderId="5" xfId="0" applyFont="1" applyBorder="1" applyAlignment="1">
      <alignment horizontal="center" vertical="center"/>
    </xf>
    <xf numFmtId="41" fontId="5" fillId="0" borderId="5" xfId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shrinkToFit="1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shrinkToFit="1"/>
    </xf>
    <xf numFmtId="41" fontId="6" fillId="0" borderId="0" xfId="0" applyNumberFormat="1" applyFont="1" applyAlignment="1">
      <alignment horizontal="center" vertical="center"/>
    </xf>
    <xf numFmtId="41" fontId="4" fillId="0" borderId="20" xfId="1" applyFont="1" applyBorder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4" fillId="3" borderId="31" xfId="0" applyFont="1" applyFill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4" fillId="3" borderId="33" xfId="0" applyFont="1" applyFill="1" applyBorder="1" applyAlignment="1">
      <alignment horizontal="center" vertical="center"/>
    </xf>
    <xf numFmtId="41" fontId="5" fillId="0" borderId="24" xfId="1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176" fontId="4" fillId="0" borderId="9" xfId="0" applyNumberFormat="1" applyFont="1" applyBorder="1" applyAlignment="1">
      <alignment horizontal="center" vertical="center"/>
    </xf>
    <xf numFmtId="41" fontId="5" fillId="0" borderId="10" xfId="1" applyFont="1" applyFill="1" applyBorder="1" applyAlignment="1">
      <alignment horizontal="right" vertical="center"/>
    </xf>
    <xf numFmtId="41" fontId="5" fillId="0" borderId="24" xfId="1" applyFont="1" applyBorder="1" applyAlignment="1">
      <alignment horizontal="right" vertical="center"/>
    </xf>
    <xf numFmtId="41" fontId="4" fillId="0" borderId="9" xfId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3" fontId="5" fillId="0" borderId="34" xfId="1" applyNumberFormat="1" applyFont="1" applyFill="1" applyBorder="1" applyAlignment="1">
      <alignment horizontal="right" vertical="center"/>
    </xf>
    <xf numFmtId="0" fontId="5" fillId="0" borderId="37" xfId="0" applyFont="1" applyBorder="1" applyAlignment="1">
      <alignment horizontal="center" vertical="center"/>
    </xf>
    <xf numFmtId="41" fontId="5" fillId="0" borderId="38" xfId="1" applyFont="1" applyBorder="1" applyAlignment="1">
      <alignment horizontal="right" vertical="center"/>
    </xf>
    <xf numFmtId="0" fontId="5" fillId="0" borderId="39" xfId="0" applyFont="1" applyBorder="1" applyAlignment="1">
      <alignment horizontal="center" vertical="center"/>
    </xf>
    <xf numFmtId="41" fontId="5" fillId="0" borderId="39" xfId="1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41" fontId="4" fillId="0" borderId="40" xfId="1" applyFont="1" applyBorder="1" applyAlignment="1">
      <alignment horizontal="center" vertical="center"/>
    </xf>
    <xf numFmtId="176" fontId="5" fillId="0" borderId="39" xfId="0" applyNumberFormat="1" applyFont="1" applyBorder="1" applyAlignment="1">
      <alignment horizontal="center" vertical="center"/>
    </xf>
    <xf numFmtId="176" fontId="5" fillId="0" borderId="44" xfId="0" applyNumberFormat="1" applyFont="1" applyBorder="1" applyAlignment="1">
      <alignment horizontal="center" vertical="center"/>
    </xf>
    <xf numFmtId="3" fontId="8" fillId="0" borderId="43" xfId="0" applyNumberFormat="1" applyFont="1" applyBorder="1" applyAlignment="1">
      <alignment horizontal="center" vertical="center"/>
    </xf>
    <xf numFmtId="3" fontId="8" fillId="0" borderId="40" xfId="0" applyNumberFormat="1" applyFont="1" applyBorder="1" applyAlignment="1">
      <alignment horizontal="center" vertical="center"/>
    </xf>
    <xf numFmtId="0" fontId="4" fillId="3" borderId="45" xfId="0" applyFont="1" applyFill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176" fontId="5" fillId="0" borderId="52" xfId="0" applyNumberFormat="1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176" fontId="5" fillId="0" borderId="47" xfId="0" applyNumberFormat="1" applyFont="1" applyBorder="1" applyAlignment="1">
      <alignment horizontal="center" vertical="center"/>
    </xf>
    <xf numFmtId="176" fontId="5" fillId="0" borderId="50" xfId="0" applyNumberFormat="1" applyFont="1" applyBorder="1" applyAlignment="1">
      <alignment horizontal="center" vertical="center"/>
    </xf>
    <xf numFmtId="41" fontId="4" fillId="0" borderId="54" xfId="1" applyFont="1" applyBorder="1" applyAlignment="1">
      <alignment horizontal="center" vertical="center"/>
    </xf>
    <xf numFmtId="41" fontId="5" fillId="0" borderId="56" xfId="1" applyFont="1" applyBorder="1" applyAlignment="1">
      <alignment horizontal="center" vertical="center"/>
    </xf>
    <xf numFmtId="41" fontId="5" fillId="0" borderId="57" xfId="1" applyFont="1" applyBorder="1" applyAlignment="1">
      <alignment horizontal="center" vertical="center"/>
    </xf>
    <xf numFmtId="41" fontId="4" fillId="0" borderId="43" xfId="1" applyFont="1" applyBorder="1" applyAlignment="1">
      <alignment horizontal="center" vertical="center"/>
    </xf>
    <xf numFmtId="41" fontId="5" fillId="0" borderId="56" xfId="1" applyFont="1" applyFill="1" applyBorder="1" applyAlignment="1">
      <alignment horizontal="center" vertical="center"/>
    </xf>
    <xf numFmtId="41" fontId="5" fillId="0" borderId="57" xfId="1" applyFont="1" applyFill="1" applyBorder="1" applyAlignment="1">
      <alignment horizontal="center" vertical="center"/>
    </xf>
    <xf numFmtId="41" fontId="7" fillId="0" borderId="4" xfId="1" applyFont="1" applyFill="1" applyBorder="1" applyAlignment="1">
      <alignment horizontal="center" vertical="center"/>
    </xf>
    <xf numFmtId="41" fontId="7" fillId="0" borderId="5" xfId="1" applyFont="1" applyFill="1" applyBorder="1" applyAlignment="1">
      <alignment horizontal="center" vertical="center"/>
    </xf>
    <xf numFmtId="41" fontId="5" fillId="0" borderId="5" xfId="1" applyFont="1" applyFill="1" applyBorder="1" applyAlignment="1">
      <alignment horizontal="right" vertical="center"/>
    </xf>
    <xf numFmtId="176" fontId="5" fillId="0" borderId="4" xfId="0" applyNumberFormat="1" applyFont="1" applyBorder="1" applyAlignment="1">
      <alignment horizontal="center" vertical="center"/>
    </xf>
    <xf numFmtId="41" fontId="5" fillId="0" borderId="3" xfId="1" applyFont="1" applyFill="1" applyBorder="1" applyAlignment="1">
      <alignment horizontal="right" vertical="center"/>
    </xf>
    <xf numFmtId="41" fontId="5" fillId="6" borderId="5" xfId="1" applyFont="1" applyFill="1" applyBorder="1" applyAlignment="1">
      <alignment horizontal="right" vertical="center"/>
    </xf>
    <xf numFmtId="176" fontId="5" fillId="0" borderId="3" xfId="0" applyNumberFormat="1" applyFont="1" applyBorder="1" applyAlignment="1">
      <alignment horizontal="center" vertical="center"/>
    </xf>
    <xf numFmtId="41" fontId="5" fillId="0" borderId="37" xfId="1" applyFont="1" applyFill="1" applyBorder="1" applyAlignment="1">
      <alignment horizontal="right" vertical="center"/>
    </xf>
    <xf numFmtId="176" fontId="5" fillId="0" borderId="37" xfId="0" applyNumberFormat="1" applyFont="1" applyBorder="1" applyAlignment="1">
      <alignment horizontal="center" vertical="center"/>
    </xf>
    <xf numFmtId="41" fontId="5" fillId="0" borderId="44" xfId="1" applyFont="1" applyFill="1" applyBorder="1" applyAlignment="1">
      <alignment horizontal="right" vertical="center"/>
    </xf>
    <xf numFmtId="0" fontId="5" fillId="0" borderId="58" xfId="0" applyFont="1" applyBorder="1" applyAlignment="1">
      <alignment horizontal="center" vertical="center"/>
    </xf>
    <xf numFmtId="41" fontId="5" fillId="0" borderId="55" xfId="1" applyFont="1" applyFill="1" applyBorder="1" applyAlignment="1">
      <alignment horizontal="center" vertical="center"/>
    </xf>
    <xf numFmtId="0" fontId="5" fillId="0" borderId="59" xfId="0" applyFont="1" applyBorder="1" applyAlignment="1">
      <alignment horizontal="center" vertical="center"/>
    </xf>
    <xf numFmtId="176" fontId="5" fillId="0" borderId="61" xfId="0" applyNumberFormat="1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41" fontId="5" fillId="0" borderId="37" xfId="1" applyFont="1" applyBorder="1" applyAlignment="1">
      <alignment horizontal="center" vertical="center"/>
    </xf>
    <xf numFmtId="0" fontId="5" fillId="0" borderId="62" xfId="0" applyFont="1" applyBorder="1" applyAlignment="1">
      <alignment horizontal="center" vertical="center"/>
    </xf>
    <xf numFmtId="41" fontId="5" fillId="0" borderId="6" xfId="1" applyFont="1" applyFill="1" applyBorder="1" applyAlignment="1">
      <alignment horizontal="center" vertical="center"/>
    </xf>
    <xf numFmtId="0" fontId="5" fillId="0" borderId="64" xfId="0" applyFont="1" applyBorder="1" applyAlignment="1">
      <alignment horizontal="center" vertical="center"/>
    </xf>
    <xf numFmtId="41" fontId="5" fillId="0" borderId="6" xfId="1" applyFont="1" applyBorder="1" applyAlignment="1">
      <alignment horizontal="center" vertical="center"/>
    </xf>
    <xf numFmtId="176" fontId="5" fillId="0" borderId="65" xfId="0" applyNumberFormat="1" applyFont="1" applyBorder="1" applyAlignment="1">
      <alignment horizontal="center" vertical="center"/>
    </xf>
    <xf numFmtId="176" fontId="5" fillId="0" borderId="48" xfId="0" applyNumberFormat="1" applyFont="1" applyBorder="1" applyAlignment="1">
      <alignment horizontal="center" vertical="center"/>
    </xf>
    <xf numFmtId="176" fontId="5" fillId="0" borderId="66" xfId="0" applyNumberFormat="1" applyFont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5" fillId="0" borderId="63" xfId="0" applyFont="1" applyBorder="1" applyAlignment="1">
      <alignment horizontal="center" vertical="center"/>
    </xf>
    <xf numFmtId="0" fontId="5" fillId="0" borderId="68" xfId="0" applyFont="1" applyBorder="1" applyAlignment="1">
      <alignment horizontal="center" vertical="center"/>
    </xf>
    <xf numFmtId="0" fontId="5" fillId="0" borderId="69" xfId="0" applyFont="1" applyBorder="1" applyAlignment="1">
      <alignment horizontal="center" vertical="center"/>
    </xf>
    <xf numFmtId="0" fontId="5" fillId="0" borderId="70" xfId="0" applyFont="1" applyBorder="1" applyAlignment="1">
      <alignment horizontal="center" vertical="center"/>
    </xf>
    <xf numFmtId="41" fontId="4" fillId="0" borderId="71" xfId="1" applyFont="1" applyBorder="1" applyAlignment="1">
      <alignment horizontal="center" vertical="center"/>
    </xf>
    <xf numFmtId="41" fontId="5" fillId="0" borderId="48" xfId="1" applyFont="1" applyFill="1" applyBorder="1" applyAlignment="1">
      <alignment horizontal="center" vertical="center"/>
    </xf>
    <xf numFmtId="0" fontId="5" fillId="0" borderId="72" xfId="0" applyFont="1" applyBorder="1" applyAlignment="1">
      <alignment horizontal="center" vertical="center"/>
    </xf>
    <xf numFmtId="41" fontId="5" fillId="0" borderId="3" xfId="1" applyFont="1" applyBorder="1" applyAlignment="1">
      <alignment horizontal="center" vertical="center"/>
    </xf>
    <xf numFmtId="41" fontId="5" fillId="0" borderId="5" xfId="1" applyFont="1" applyBorder="1" applyAlignment="1">
      <alignment horizontal="center" vertical="center" shrinkToFit="1"/>
    </xf>
    <xf numFmtId="176" fontId="5" fillId="0" borderId="5" xfId="0" applyNumberFormat="1" applyFont="1" applyBorder="1" applyAlignment="1">
      <alignment horizontal="center" vertical="center" shrinkToFit="1"/>
    </xf>
    <xf numFmtId="176" fontId="5" fillId="0" borderId="48" xfId="0" applyNumberFormat="1" applyFont="1" applyBorder="1" applyAlignment="1">
      <alignment horizontal="center" vertical="center" shrinkToFit="1"/>
    </xf>
    <xf numFmtId="0" fontId="0" fillId="0" borderId="0" xfId="0" applyAlignment="1">
      <alignment vertical="center" shrinkToFit="1"/>
    </xf>
    <xf numFmtId="0" fontId="5" fillId="0" borderId="5" xfId="0" applyFont="1" applyBorder="1" applyAlignment="1">
      <alignment horizontal="center" vertical="center" wrapText="1" shrinkToFit="1"/>
    </xf>
    <xf numFmtId="0" fontId="5" fillId="0" borderId="24" xfId="0" applyFont="1" applyBorder="1" applyAlignment="1">
      <alignment horizontal="center" vertical="center" wrapText="1" shrinkToFit="1"/>
    </xf>
    <xf numFmtId="41" fontId="5" fillId="0" borderId="24" xfId="1" applyFont="1" applyBorder="1" applyAlignment="1">
      <alignment horizontal="center" vertical="center" shrinkToFit="1"/>
    </xf>
    <xf numFmtId="176" fontId="5" fillId="0" borderId="56" xfId="0" applyNumberFormat="1" applyFont="1" applyBorder="1" applyAlignment="1">
      <alignment horizontal="center" vertical="center" shrinkToFit="1"/>
    </xf>
    <xf numFmtId="0" fontId="5" fillId="0" borderId="5" xfId="0" applyFont="1" applyFill="1" applyBorder="1" applyAlignment="1">
      <alignment horizontal="center" vertical="center"/>
    </xf>
    <xf numFmtId="176" fontId="5" fillId="0" borderId="5" xfId="0" applyNumberFormat="1" applyFont="1" applyFill="1" applyBorder="1" applyAlignment="1">
      <alignment horizontal="center" vertical="center"/>
    </xf>
    <xf numFmtId="0" fontId="5" fillId="0" borderId="73" xfId="0" applyFont="1" applyBorder="1" applyAlignment="1">
      <alignment horizontal="center" vertical="center"/>
    </xf>
    <xf numFmtId="0" fontId="5" fillId="0" borderId="74" xfId="0" applyFont="1" applyBorder="1" applyAlignment="1">
      <alignment horizontal="center" vertical="center"/>
    </xf>
    <xf numFmtId="41" fontId="5" fillId="0" borderId="74" xfId="1" applyFont="1" applyBorder="1" applyAlignment="1">
      <alignment horizontal="center" vertical="center"/>
    </xf>
    <xf numFmtId="41" fontId="5" fillId="0" borderId="44" xfId="1" applyFont="1" applyFill="1" applyBorder="1" applyAlignment="1">
      <alignment horizontal="center" vertical="center"/>
    </xf>
    <xf numFmtId="41" fontId="5" fillId="0" borderId="47" xfId="1" applyFont="1" applyFill="1" applyBorder="1" applyAlignment="1">
      <alignment horizontal="center" vertical="center"/>
    </xf>
    <xf numFmtId="0" fontId="5" fillId="0" borderId="75" xfId="0" applyFont="1" applyBorder="1" applyAlignment="1">
      <alignment horizontal="center" vertical="center"/>
    </xf>
    <xf numFmtId="41" fontId="5" fillId="0" borderId="75" xfId="1" applyFont="1" applyBorder="1" applyAlignment="1">
      <alignment horizontal="center" vertical="center"/>
    </xf>
    <xf numFmtId="0" fontId="5" fillId="0" borderId="75" xfId="0" applyFont="1" applyBorder="1" applyAlignment="1">
      <alignment horizontal="center" vertical="center" wrapText="1" shrinkToFit="1"/>
    </xf>
    <xf numFmtId="41" fontId="5" fillId="0" borderId="75" xfId="1" applyFont="1" applyBorder="1" applyAlignment="1">
      <alignment horizontal="center" vertical="center" shrinkToFit="1"/>
    </xf>
    <xf numFmtId="176" fontId="5" fillId="0" borderId="6" xfId="0" applyNumberFormat="1" applyFont="1" applyBorder="1" applyAlignment="1">
      <alignment horizontal="center" vertical="center" shrinkToFit="1"/>
    </xf>
    <xf numFmtId="176" fontId="5" fillId="0" borderId="57" xfId="0" applyNumberFormat="1" applyFont="1" applyBorder="1" applyAlignment="1">
      <alignment horizontal="center" vertical="center" shrinkToFit="1"/>
    </xf>
    <xf numFmtId="14" fontId="5" fillId="0" borderId="5" xfId="1" applyNumberFormat="1" applyFont="1" applyFill="1" applyBorder="1" applyAlignment="1">
      <alignment horizontal="center" vertical="center"/>
    </xf>
    <xf numFmtId="41" fontId="5" fillId="0" borderId="37" xfId="1" applyFont="1" applyFill="1" applyBorder="1" applyAlignment="1">
      <alignment horizontal="center" vertical="center"/>
    </xf>
    <xf numFmtId="177" fontId="7" fillId="0" borderId="4" xfId="0" applyNumberFormat="1" applyFont="1" applyFill="1" applyBorder="1" applyAlignment="1">
      <alignment horizontal="center" vertical="center" shrinkToFit="1"/>
    </xf>
    <xf numFmtId="41" fontId="7" fillId="0" borderId="4" xfId="1" applyFont="1" applyFill="1" applyBorder="1" applyAlignment="1">
      <alignment horizontal="right" vertical="center" shrinkToFit="1"/>
    </xf>
    <xf numFmtId="14" fontId="7" fillId="5" borderId="4" xfId="0" applyNumberFormat="1" applyFont="1" applyFill="1" applyBorder="1" applyAlignment="1">
      <alignment horizontal="center" vertical="center"/>
    </xf>
    <xf numFmtId="41" fontId="5" fillId="0" borderId="76" xfId="1" applyFont="1" applyFill="1" applyBorder="1" applyAlignment="1">
      <alignment horizontal="center" vertical="center"/>
    </xf>
    <xf numFmtId="0" fontId="7" fillId="5" borderId="48" xfId="0" applyFont="1" applyFill="1" applyBorder="1" applyAlignment="1">
      <alignment horizontal="center" vertical="center"/>
    </xf>
    <xf numFmtId="0" fontId="10" fillId="0" borderId="61" xfId="0" applyFont="1" applyBorder="1" applyAlignment="1">
      <alignment horizontal="center" vertical="center"/>
    </xf>
    <xf numFmtId="3" fontId="10" fillId="5" borderId="61" xfId="0" applyNumberFormat="1" applyFont="1" applyFill="1" applyBorder="1" applyAlignment="1">
      <alignment horizontal="right" vertical="center"/>
    </xf>
    <xf numFmtId="0" fontId="7" fillId="5" borderId="61" xfId="0" applyFont="1" applyFill="1" applyBorder="1" applyAlignment="1">
      <alignment horizontal="center" vertical="center"/>
    </xf>
    <xf numFmtId="0" fontId="7" fillId="5" borderId="60" xfId="0" applyFont="1" applyFill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41" fontId="5" fillId="0" borderId="39" xfId="1" applyFont="1" applyBorder="1" applyAlignment="1">
      <alignment horizontal="center" vertical="center"/>
    </xf>
    <xf numFmtId="41" fontId="5" fillId="0" borderId="77" xfId="1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 shrinkToFit="1"/>
    </xf>
    <xf numFmtId="41" fontId="5" fillId="0" borderId="78" xfId="1" applyFont="1" applyFill="1" applyBorder="1" applyAlignment="1">
      <alignment horizontal="center" vertical="center"/>
    </xf>
    <xf numFmtId="14" fontId="5" fillId="0" borderId="3" xfId="1" applyNumberFormat="1" applyFont="1" applyFill="1" applyBorder="1" applyAlignment="1">
      <alignment horizontal="center" vertical="center"/>
    </xf>
    <xf numFmtId="41" fontId="5" fillId="0" borderId="56" xfId="1" applyFont="1" applyFill="1" applyBorder="1" applyAlignment="1">
      <alignment horizontal="center" vertical="center" wrapText="1"/>
    </xf>
    <xf numFmtId="3" fontId="0" fillId="0" borderId="0" xfId="0" applyNumberFormat="1">
      <alignment vertical="center"/>
    </xf>
    <xf numFmtId="41" fontId="0" fillId="0" borderId="0" xfId="1" applyFont="1">
      <alignment vertical="center"/>
    </xf>
    <xf numFmtId="41" fontId="0" fillId="0" borderId="0" xfId="0" applyNumberFormat="1">
      <alignment vertical="center"/>
    </xf>
    <xf numFmtId="13" fontId="5" fillId="0" borderId="5" xfId="1" applyNumberFormat="1" applyFont="1" applyFill="1" applyBorder="1" applyAlignment="1">
      <alignment horizontal="center" vertical="center"/>
    </xf>
    <xf numFmtId="41" fontId="7" fillId="0" borderId="3" xfId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 shrinkToFit="1"/>
    </xf>
    <xf numFmtId="0" fontId="5" fillId="0" borderId="44" xfId="0" applyFont="1" applyBorder="1" applyAlignment="1">
      <alignment horizontal="center" vertical="center"/>
    </xf>
    <xf numFmtId="41" fontId="5" fillId="0" borderId="44" xfId="1" applyFont="1" applyBorder="1" applyAlignment="1">
      <alignment horizontal="center" vertical="center"/>
    </xf>
    <xf numFmtId="41" fontId="5" fillId="0" borderId="6" xfId="1" applyFont="1" applyFill="1" applyBorder="1" applyAlignment="1">
      <alignment horizontal="right" vertical="center"/>
    </xf>
    <xf numFmtId="41" fontId="5" fillId="0" borderId="80" xfId="1" applyFont="1" applyFill="1" applyBorder="1" applyAlignment="1">
      <alignment horizontal="right" vertical="center"/>
    </xf>
    <xf numFmtId="176" fontId="5" fillId="0" borderId="80" xfId="0" applyNumberFormat="1" applyFont="1" applyBorder="1" applyAlignment="1">
      <alignment horizontal="center" vertical="center"/>
    </xf>
    <xf numFmtId="13" fontId="5" fillId="0" borderId="6" xfId="1" applyNumberFormat="1" applyFont="1" applyFill="1" applyBorder="1" applyAlignment="1">
      <alignment horizontal="center" vertical="center"/>
    </xf>
    <xf numFmtId="0" fontId="5" fillId="0" borderId="82" xfId="0" applyFont="1" applyBorder="1" applyAlignment="1">
      <alignment horizontal="center" vertical="center"/>
    </xf>
    <xf numFmtId="0" fontId="5" fillId="0" borderId="80" xfId="0" applyFont="1" applyBorder="1" applyAlignment="1">
      <alignment horizontal="center" vertical="center"/>
    </xf>
    <xf numFmtId="41" fontId="5" fillId="0" borderId="80" xfId="1" applyFont="1" applyBorder="1" applyAlignment="1">
      <alignment horizontal="center" vertical="center"/>
    </xf>
    <xf numFmtId="41" fontId="5" fillId="0" borderId="80" xfId="1" applyFont="1" applyFill="1" applyBorder="1" applyAlignment="1">
      <alignment horizontal="center" vertical="center"/>
    </xf>
    <xf numFmtId="41" fontId="5" fillId="0" borderId="83" xfId="1" applyFont="1" applyFill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41" fontId="5" fillId="7" borderId="3" xfId="1" applyFont="1" applyFill="1" applyBorder="1" applyAlignment="1">
      <alignment horizontal="center" vertical="center"/>
    </xf>
    <xf numFmtId="41" fontId="5" fillId="7" borderId="5" xfId="1" applyFont="1" applyFill="1" applyBorder="1" applyAlignment="1">
      <alignment horizontal="center" vertical="center"/>
    </xf>
    <xf numFmtId="41" fontId="5" fillId="7" borderId="6" xfId="1" applyFont="1" applyFill="1" applyBorder="1" applyAlignment="1">
      <alignment horizontal="center" vertical="center"/>
    </xf>
    <xf numFmtId="41" fontId="7" fillId="6" borderId="5" xfId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left" vertical="center"/>
    </xf>
    <xf numFmtId="176" fontId="5" fillId="0" borderId="5" xfId="0" applyNumberFormat="1" applyFont="1" applyBorder="1" applyAlignment="1">
      <alignment horizontal="center" vertical="center" wrapText="1"/>
    </xf>
    <xf numFmtId="41" fontId="5" fillId="0" borderId="63" xfId="1" applyFont="1" applyFill="1" applyBorder="1" applyAlignment="1">
      <alignment horizontal="center" vertical="center" wrapText="1"/>
    </xf>
    <xf numFmtId="41" fontId="5" fillId="4" borderId="5" xfId="1" applyFont="1" applyFill="1" applyBorder="1" applyAlignment="1">
      <alignment horizontal="center" vertical="center"/>
    </xf>
    <xf numFmtId="41" fontId="5" fillId="4" borderId="5" xfId="1" applyFont="1" applyFill="1" applyBorder="1" applyAlignment="1">
      <alignment horizontal="right" vertical="center"/>
    </xf>
    <xf numFmtId="0" fontId="5" fillId="0" borderId="74" xfId="0" applyFont="1" applyBorder="1" applyAlignment="1">
      <alignment horizontal="left" vertical="center"/>
    </xf>
    <xf numFmtId="41" fontId="5" fillId="0" borderId="74" xfId="1" applyFont="1" applyFill="1" applyBorder="1" applyAlignment="1">
      <alignment horizontal="right" vertical="center"/>
    </xf>
    <xf numFmtId="176" fontId="5" fillId="0" borderId="0" xfId="0" applyNumberFormat="1" applyFont="1" applyBorder="1" applyAlignment="1">
      <alignment horizontal="center" vertical="center"/>
    </xf>
    <xf numFmtId="41" fontId="5" fillId="6" borderId="74" xfId="1" applyFont="1" applyFill="1" applyBorder="1" applyAlignment="1">
      <alignment horizontal="right" vertical="center"/>
    </xf>
    <xf numFmtId="0" fontId="5" fillId="0" borderId="84" xfId="0" applyFont="1" applyBorder="1" applyAlignment="1">
      <alignment horizontal="left" vertical="center"/>
    </xf>
    <xf numFmtId="41" fontId="5" fillId="0" borderId="84" xfId="1" applyFont="1" applyFill="1" applyBorder="1" applyAlignment="1">
      <alignment horizontal="right" vertical="center"/>
    </xf>
    <xf numFmtId="176" fontId="5" fillId="0" borderId="85" xfId="0" applyNumberFormat="1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 shrinkToFit="1"/>
    </xf>
    <xf numFmtId="0" fontId="5" fillId="0" borderId="84" xfId="0" applyFont="1" applyBorder="1" applyAlignment="1">
      <alignment horizontal="center" vertical="center" shrinkToFit="1"/>
    </xf>
    <xf numFmtId="41" fontId="5" fillId="0" borderId="84" xfId="1" applyFont="1" applyBorder="1" applyAlignment="1">
      <alignment horizontal="center" vertical="center"/>
    </xf>
    <xf numFmtId="41" fontId="5" fillId="0" borderId="85" xfId="1" applyFont="1" applyFill="1" applyBorder="1" applyAlignment="1">
      <alignment horizontal="center" vertical="center"/>
    </xf>
    <xf numFmtId="0" fontId="5" fillId="0" borderId="74" xfId="0" applyFont="1" applyBorder="1" applyAlignment="1">
      <alignment horizontal="center" vertical="center" shrinkToFit="1"/>
    </xf>
    <xf numFmtId="41" fontId="7" fillId="7" borderId="5" xfId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left" vertical="center"/>
    </xf>
    <xf numFmtId="0" fontId="5" fillId="0" borderId="6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5" fillId="0" borderId="87" xfId="0" applyFont="1" applyBorder="1" applyAlignment="1">
      <alignment horizontal="center" vertical="center"/>
    </xf>
    <xf numFmtId="41" fontId="5" fillId="0" borderId="87" xfId="1" applyFont="1" applyFill="1" applyBorder="1" applyAlignment="1">
      <alignment horizontal="right" vertical="center"/>
    </xf>
    <xf numFmtId="176" fontId="5" fillId="0" borderId="88" xfId="0" applyNumberFormat="1" applyFont="1" applyBorder="1" applyAlignment="1">
      <alignment horizontal="center" vertical="center"/>
    </xf>
    <xf numFmtId="176" fontId="5" fillId="0" borderId="89" xfId="0" applyNumberFormat="1" applyFont="1" applyBorder="1" applyAlignment="1">
      <alignment horizontal="center" vertical="center"/>
    </xf>
    <xf numFmtId="41" fontId="5" fillId="4" borderId="6" xfId="1" applyFont="1" applyFill="1" applyBorder="1" applyAlignment="1">
      <alignment horizontal="right" vertical="center"/>
    </xf>
    <xf numFmtId="176" fontId="5" fillId="0" borderId="6" xfId="0" applyNumberFormat="1" applyFont="1" applyFill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 wrapText="1"/>
    </xf>
    <xf numFmtId="0" fontId="5" fillId="0" borderId="32" xfId="0" applyFont="1" applyFill="1" applyBorder="1" applyAlignment="1">
      <alignment horizontal="center" vertical="center"/>
    </xf>
    <xf numFmtId="176" fontId="5" fillId="0" borderId="24" xfId="0" applyNumberFormat="1" applyFont="1" applyFill="1" applyBorder="1" applyAlignment="1">
      <alignment horizontal="center" vertical="center" wrapText="1"/>
    </xf>
    <xf numFmtId="0" fontId="5" fillId="0" borderId="85" xfId="0" applyFont="1" applyFill="1" applyBorder="1" applyAlignment="1">
      <alignment horizontal="left" vertical="center"/>
    </xf>
    <xf numFmtId="41" fontId="5" fillId="0" borderId="85" xfId="1" applyFont="1" applyFill="1" applyBorder="1" applyAlignment="1">
      <alignment horizontal="right" vertical="center"/>
    </xf>
    <xf numFmtId="176" fontId="5" fillId="0" borderId="85" xfId="0" applyNumberFormat="1" applyFont="1" applyFill="1" applyBorder="1" applyAlignment="1">
      <alignment horizontal="center" vertical="center"/>
    </xf>
    <xf numFmtId="176" fontId="5" fillId="0" borderId="84" xfId="0" applyNumberFormat="1" applyFont="1" applyFill="1" applyBorder="1" applyAlignment="1">
      <alignment horizontal="center" vertical="center" wrapText="1"/>
    </xf>
    <xf numFmtId="0" fontId="5" fillId="0" borderId="90" xfId="0" applyFont="1" applyFill="1" applyBorder="1" applyAlignment="1">
      <alignment horizontal="center" vertical="center"/>
    </xf>
    <xf numFmtId="0" fontId="5" fillId="0" borderId="80" xfId="0" applyFont="1" applyFill="1" applyBorder="1" applyAlignment="1">
      <alignment horizontal="left" vertical="center"/>
    </xf>
    <xf numFmtId="176" fontId="5" fillId="0" borderId="91" xfId="0" applyNumberFormat="1" applyFont="1" applyFill="1" applyBorder="1" applyAlignment="1">
      <alignment horizontal="center" vertical="center" wrapText="1"/>
    </xf>
    <xf numFmtId="14" fontId="5" fillId="0" borderId="80" xfId="1" applyNumberFormat="1" applyFont="1" applyFill="1" applyBorder="1" applyAlignment="1">
      <alignment horizontal="center" vertical="center"/>
    </xf>
    <xf numFmtId="176" fontId="5" fillId="0" borderId="75" xfId="0" applyNumberFormat="1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left" vertical="center" shrinkToFit="1"/>
    </xf>
    <xf numFmtId="0" fontId="5" fillId="0" borderId="80" xfId="0" applyFont="1" applyBorder="1" applyAlignment="1">
      <alignment horizontal="left" vertical="center"/>
    </xf>
    <xf numFmtId="41" fontId="5" fillId="4" borderId="74" xfId="1" applyFont="1" applyFill="1" applyBorder="1" applyAlignment="1">
      <alignment horizontal="right" vertical="center"/>
    </xf>
    <xf numFmtId="0" fontId="5" fillId="0" borderId="5" xfId="0" applyFont="1" applyBorder="1" applyAlignment="1">
      <alignment horizontal="left" vertical="center" shrinkToFit="1"/>
    </xf>
    <xf numFmtId="0" fontId="5" fillId="0" borderId="3" xfId="0" applyFont="1" applyBorder="1" applyAlignment="1">
      <alignment horizontal="left" vertical="center" shrinkToFit="1"/>
    </xf>
    <xf numFmtId="0" fontId="10" fillId="0" borderId="3" xfId="0" applyFont="1" applyFill="1" applyBorder="1" applyAlignment="1">
      <alignment horizontal="center" vertical="center"/>
    </xf>
    <xf numFmtId="0" fontId="5" fillId="0" borderId="74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 shrinkToFit="1"/>
    </xf>
    <xf numFmtId="41" fontId="5" fillId="0" borderId="56" xfId="1" quotePrefix="1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center" vertical="center"/>
    </xf>
    <xf numFmtId="41" fontId="0" fillId="0" borderId="0" xfId="1" applyFont="1" applyFill="1">
      <alignment vertical="center"/>
    </xf>
    <xf numFmtId="0" fontId="5" fillId="0" borderId="92" xfId="0" applyFont="1" applyBorder="1" applyAlignment="1">
      <alignment horizontal="center" vertical="center"/>
    </xf>
    <xf numFmtId="0" fontId="5" fillId="0" borderId="39" xfId="0" applyFont="1" applyFill="1" applyBorder="1" applyAlignment="1">
      <alignment horizontal="center" vertical="center"/>
    </xf>
    <xf numFmtId="41" fontId="5" fillId="0" borderId="77" xfId="1" applyFont="1" applyFill="1" applyBorder="1" applyAlignment="1">
      <alignment horizontal="center" vertical="center"/>
    </xf>
    <xf numFmtId="0" fontId="5" fillId="0" borderId="39" xfId="0" applyFont="1" applyFill="1" applyBorder="1" applyAlignment="1">
      <alignment horizontal="left" vertical="center"/>
    </xf>
    <xf numFmtId="176" fontId="5" fillId="0" borderId="39" xfId="0" applyNumberFormat="1" applyFont="1" applyFill="1" applyBorder="1" applyAlignment="1">
      <alignment horizontal="center" vertical="center"/>
    </xf>
    <xf numFmtId="176" fontId="5" fillId="0" borderId="52" xfId="0" applyNumberFormat="1" applyFont="1" applyFill="1" applyBorder="1" applyAlignment="1">
      <alignment horizontal="center" vertical="center"/>
    </xf>
    <xf numFmtId="0" fontId="5" fillId="0" borderId="37" xfId="0" applyFont="1" applyBorder="1" applyAlignment="1">
      <alignment horizontal="left" vertical="center"/>
    </xf>
    <xf numFmtId="0" fontId="5" fillId="0" borderId="44" xfId="0" applyFont="1" applyBorder="1" applyAlignment="1">
      <alignment horizontal="left" vertical="center" shrinkToFit="1"/>
    </xf>
    <xf numFmtId="0" fontId="5" fillId="0" borderId="64" xfId="0" applyFont="1" applyFill="1" applyBorder="1" applyAlignment="1">
      <alignment horizontal="center" vertical="center"/>
    </xf>
    <xf numFmtId="0" fontId="5" fillId="0" borderId="51" xfId="0" applyFont="1" applyFill="1" applyBorder="1" applyAlignment="1">
      <alignment horizontal="center" vertical="center"/>
    </xf>
    <xf numFmtId="13" fontId="5" fillId="0" borderId="3" xfId="1" applyNumberFormat="1" applyFont="1" applyFill="1" applyBorder="1" applyAlignment="1">
      <alignment horizontal="center" vertical="center"/>
    </xf>
    <xf numFmtId="0" fontId="4" fillId="3" borderId="96" xfId="0" applyFont="1" applyFill="1" applyBorder="1" applyAlignment="1">
      <alignment horizontal="center" vertical="center"/>
    </xf>
    <xf numFmtId="0" fontId="4" fillId="3" borderId="97" xfId="0" applyFont="1" applyFill="1" applyBorder="1" applyAlignment="1">
      <alignment horizontal="center" vertical="center"/>
    </xf>
    <xf numFmtId="0" fontId="4" fillId="3" borderId="98" xfId="0" applyFont="1" applyFill="1" applyBorder="1" applyAlignment="1">
      <alignment horizontal="center" vertical="center"/>
    </xf>
    <xf numFmtId="0" fontId="5" fillId="0" borderId="99" xfId="0" applyFont="1" applyBorder="1" applyAlignment="1">
      <alignment horizontal="center" vertical="center" shrinkToFit="1"/>
    </xf>
    <xf numFmtId="176" fontId="5" fillId="0" borderId="60" xfId="0" applyNumberFormat="1" applyFont="1" applyBorder="1" applyAlignment="1">
      <alignment horizontal="center" vertical="center"/>
    </xf>
    <xf numFmtId="176" fontId="5" fillId="0" borderId="48" xfId="0" applyNumberFormat="1" applyFont="1" applyFill="1" applyBorder="1" applyAlignment="1">
      <alignment horizontal="center" vertical="center"/>
    </xf>
    <xf numFmtId="176" fontId="5" fillId="0" borderId="89" xfId="0" applyNumberFormat="1" applyFont="1" applyFill="1" applyBorder="1" applyAlignment="1">
      <alignment horizontal="center" vertical="center" wrapText="1"/>
    </xf>
    <xf numFmtId="0" fontId="4" fillId="0" borderId="100" xfId="0" applyFont="1" applyBorder="1" applyAlignment="1">
      <alignment vertical="center"/>
    </xf>
    <xf numFmtId="176" fontId="4" fillId="0" borderId="101" xfId="0" applyNumberFormat="1" applyFont="1" applyBorder="1" applyAlignment="1">
      <alignment horizontal="center" vertical="center"/>
    </xf>
    <xf numFmtId="41" fontId="4" fillId="0" borderId="102" xfId="1" applyFont="1" applyBorder="1" applyAlignment="1">
      <alignment horizontal="center" vertical="center"/>
    </xf>
    <xf numFmtId="41" fontId="4" fillId="0" borderId="103" xfId="1" applyFont="1" applyBorder="1" applyAlignment="1">
      <alignment horizontal="center" vertical="center"/>
    </xf>
    <xf numFmtId="41" fontId="4" fillId="0" borderId="104" xfId="1" applyFont="1" applyBorder="1" applyAlignment="1">
      <alignment horizontal="center" vertical="center"/>
    </xf>
    <xf numFmtId="41" fontId="4" fillId="0" borderId="105" xfId="1" applyFont="1" applyBorder="1" applyAlignment="1">
      <alignment horizontal="center" vertical="center"/>
    </xf>
    <xf numFmtId="41" fontId="4" fillId="0" borderId="101" xfId="1" applyFont="1" applyBorder="1" applyAlignment="1">
      <alignment horizontal="center" vertical="center"/>
    </xf>
    <xf numFmtId="3" fontId="8" fillId="0" borderId="103" xfId="0" applyNumberFormat="1" applyFont="1" applyBorder="1" applyAlignment="1">
      <alignment horizontal="center" vertical="center"/>
    </xf>
    <xf numFmtId="3" fontId="8" fillId="0" borderId="104" xfId="0" applyNumberFormat="1" applyFont="1" applyBorder="1" applyAlignment="1">
      <alignment horizontal="center" vertical="center"/>
    </xf>
    <xf numFmtId="0" fontId="0" fillId="0" borderId="48" xfId="0" applyBorder="1">
      <alignment vertical="center"/>
    </xf>
    <xf numFmtId="0" fontId="5" fillId="0" borderId="106" xfId="0" applyFont="1" applyBorder="1" applyAlignment="1">
      <alignment horizontal="center" vertical="center"/>
    </xf>
    <xf numFmtId="0" fontId="5" fillId="0" borderId="85" xfId="0" applyFont="1" applyFill="1" applyBorder="1" applyAlignment="1">
      <alignment horizontal="center" vertical="center"/>
    </xf>
    <xf numFmtId="41" fontId="5" fillId="0" borderId="107" xfId="1" applyFont="1" applyFill="1" applyBorder="1" applyAlignment="1">
      <alignment horizontal="center" vertical="center"/>
    </xf>
    <xf numFmtId="0" fontId="5" fillId="0" borderId="5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left" vertical="center" shrinkToFit="1"/>
    </xf>
    <xf numFmtId="176" fontId="5" fillId="0" borderId="3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left" vertical="center" wrapText="1" shrinkToFit="1"/>
    </xf>
    <xf numFmtId="0" fontId="5" fillId="0" borderId="106" xfId="0" applyFont="1" applyFill="1" applyBorder="1" applyAlignment="1">
      <alignment horizontal="center" vertical="center"/>
    </xf>
    <xf numFmtId="0" fontId="5" fillId="0" borderId="85" xfId="0" applyFont="1" applyFill="1" applyBorder="1" applyAlignment="1">
      <alignment horizontal="left" vertical="center" shrinkToFit="1"/>
    </xf>
    <xf numFmtId="176" fontId="5" fillId="0" borderId="107" xfId="0" applyNumberFormat="1" applyFont="1" applyFill="1" applyBorder="1" applyAlignment="1">
      <alignment horizontal="center" vertical="center"/>
    </xf>
    <xf numFmtId="0" fontId="5" fillId="0" borderId="79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 shrinkToFit="1"/>
    </xf>
    <xf numFmtId="41" fontId="5" fillId="0" borderId="4" xfId="1" applyFont="1" applyBorder="1" applyAlignment="1">
      <alignment horizontal="center" vertical="center"/>
    </xf>
    <xf numFmtId="41" fontId="5" fillId="0" borderId="57" xfId="1" applyFont="1" applyFill="1" applyBorder="1" applyAlignment="1">
      <alignment horizontal="center" vertical="center" wrapText="1"/>
    </xf>
    <xf numFmtId="13" fontId="5" fillId="0" borderId="37" xfId="1" applyNumberFormat="1" applyFont="1" applyFill="1" applyBorder="1" applyAlignment="1">
      <alignment horizontal="center" vertical="center"/>
    </xf>
    <xf numFmtId="41" fontId="5" fillId="0" borderId="65" xfId="1" applyFont="1" applyFill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5" fillId="0" borderId="108" xfId="0" applyFont="1" applyBorder="1" applyAlignment="1">
      <alignment horizontal="center" vertical="center"/>
    </xf>
    <xf numFmtId="0" fontId="5" fillId="0" borderId="109" xfId="0" applyFont="1" applyBorder="1" applyAlignment="1">
      <alignment horizontal="center" vertical="center"/>
    </xf>
    <xf numFmtId="176" fontId="5" fillId="0" borderId="65" xfId="0" applyNumberFormat="1" applyFont="1" applyFill="1" applyBorder="1" applyAlignment="1">
      <alignment horizontal="center" vertical="center"/>
    </xf>
    <xf numFmtId="176" fontId="5" fillId="0" borderId="50" xfId="0" applyNumberFormat="1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41" fontId="5" fillId="0" borderId="50" xfId="1" applyFont="1" applyFill="1" applyBorder="1" applyAlignment="1">
      <alignment horizontal="center" vertical="center"/>
    </xf>
    <xf numFmtId="0" fontId="5" fillId="0" borderId="44" xfId="0" applyFont="1" applyFill="1" applyBorder="1" applyAlignment="1">
      <alignment horizontal="left" vertical="center"/>
    </xf>
    <xf numFmtId="41" fontId="7" fillId="0" borderId="5" xfId="1" applyFont="1" applyFill="1" applyBorder="1" applyAlignment="1">
      <alignment horizontal="left" vertical="center"/>
    </xf>
    <xf numFmtId="41" fontId="5" fillId="0" borderId="5" xfId="1" applyFont="1" applyFill="1" applyBorder="1" applyAlignment="1">
      <alignment horizontal="left" vertical="center"/>
    </xf>
    <xf numFmtId="41" fontId="5" fillId="0" borderId="3" xfId="1" applyFont="1" applyFill="1" applyBorder="1" applyAlignment="1">
      <alignment horizontal="left" vertical="center"/>
    </xf>
    <xf numFmtId="41" fontId="5" fillId="0" borderId="37" xfId="1" applyFont="1" applyFill="1" applyBorder="1" applyAlignment="1">
      <alignment horizontal="left" vertical="center"/>
    </xf>
    <xf numFmtId="41" fontId="5" fillId="0" borderId="5" xfId="1" applyFont="1" applyBorder="1" applyAlignment="1">
      <alignment horizontal="left" vertical="center"/>
    </xf>
    <xf numFmtId="41" fontId="5" fillId="0" borderId="3" xfId="1" applyFont="1" applyBorder="1" applyAlignment="1">
      <alignment horizontal="left" vertical="center"/>
    </xf>
    <xf numFmtId="0" fontId="5" fillId="0" borderId="37" xfId="0" applyFont="1" applyFill="1" applyBorder="1" applyAlignment="1">
      <alignment horizontal="left" vertical="center"/>
    </xf>
    <xf numFmtId="176" fontId="5" fillId="0" borderId="37" xfId="0" applyNumberFormat="1" applyFont="1" applyFill="1" applyBorder="1" applyAlignment="1">
      <alignment horizontal="center" vertical="center"/>
    </xf>
    <xf numFmtId="0" fontId="5" fillId="0" borderId="6" xfId="0" applyFont="1" applyBorder="1" applyAlignment="1">
      <alignment horizontal="left" vertical="center" shrinkToFit="1"/>
    </xf>
    <xf numFmtId="41" fontId="5" fillId="0" borderId="6" xfId="1" applyFont="1" applyFill="1" applyBorder="1" applyAlignment="1">
      <alignment horizontal="left" vertical="center"/>
    </xf>
    <xf numFmtId="41" fontId="5" fillId="0" borderId="6" xfId="1" applyFont="1" applyBorder="1" applyAlignment="1">
      <alignment horizontal="left" vertical="center"/>
    </xf>
    <xf numFmtId="0" fontId="4" fillId="3" borderId="110" xfId="0" applyFont="1" applyFill="1" applyBorder="1" applyAlignment="1">
      <alignment horizontal="center" vertical="center"/>
    </xf>
    <xf numFmtId="0" fontId="4" fillId="3" borderId="111" xfId="0" applyFont="1" applyFill="1" applyBorder="1" applyAlignment="1">
      <alignment horizontal="center" vertical="center"/>
    </xf>
    <xf numFmtId="0" fontId="4" fillId="3" borderId="112" xfId="0" applyFont="1" applyFill="1" applyBorder="1" applyAlignment="1">
      <alignment horizontal="center" vertical="center"/>
    </xf>
    <xf numFmtId="0" fontId="4" fillId="3" borderId="113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left" vertical="center"/>
    </xf>
    <xf numFmtId="41" fontId="5" fillId="0" borderId="24" xfId="1" applyFont="1" applyBorder="1" applyAlignment="1">
      <alignment horizontal="left" vertical="center"/>
    </xf>
    <xf numFmtId="176" fontId="5" fillId="0" borderId="56" xfId="0" applyNumberFormat="1" applyFont="1" applyBorder="1" applyAlignment="1">
      <alignment horizontal="center" vertical="center"/>
    </xf>
    <xf numFmtId="41" fontId="7" fillId="0" borderId="3" xfId="1" applyFont="1" applyFill="1" applyBorder="1" applyAlignment="1">
      <alignment horizontal="left" vertical="center"/>
    </xf>
    <xf numFmtId="0" fontId="5" fillId="0" borderId="117" xfId="0" applyFont="1" applyFill="1" applyBorder="1" applyAlignment="1">
      <alignment horizontal="center" vertical="center"/>
    </xf>
    <xf numFmtId="13" fontId="5" fillId="0" borderId="118" xfId="1" applyNumberFormat="1" applyFont="1" applyFill="1" applyBorder="1" applyAlignment="1">
      <alignment horizontal="center" vertical="center"/>
    </xf>
    <xf numFmtId="41" fontId="5" fillId="0" borderId="5" xfId="1" applyFont="1" applyBorder="1">
      <alignment vertical="center"/>
    </xf>
    <xf numFmtId="176" fontId="5" fillId="0" borderId="60" xfId="0" applyNumberFormat="1" applyFont="1" applyFill="1" applyBorder="1" applyAlignment="1">
      <alignment horizontal="center" vertical="center"/>
    </xf>
    <xf numFmtId="41" fontId="0" fillId="0" borderId="0" xfId="0" applyNumberFormat="1" applyFill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19" xfId="0" applyBorder="1" applyAlignment="1">
      <alignment horizontal="center" vertical="center"/>
    </xf>
    <xf numFmtId="41" fontId="0" fillId="0" borderId="119" xfId="0" applyNumberFormat="1" applyBorder="1" applyAlignment="1">
      <alignment horizontal="center" vertical="center"/>
    </xf>
    <xf numFmtId="0" fontId="0" fillId="8" borderId="119" xfId="0" applyFill="1" applyBorder="1" applyAlignment="1">
      <alignment horizontal="center" vertical="center"/>
    </xf>
    <xf numFmtId="0" fontId="5" fillId="0" borderId="75" xfId="0" applyFont="1" applyBorder="1" applyAlignment="1">
      <alignment horizontal="left" vertical="center"/>
    </xf>
    <xf numFmtId="41" fontId="5" fillId="0" borderId="75" xfId="1" applyFont="1" applyBorder="1" applyAlignment="1">
      <alignment horizontal="left" vertical="center"/>
    </xf>
    <xf numFmtId="176" fontId="5" fillId="0" borderId="57" xfId="0" applyNumberFormat="1" applyFont="1" applyBorder="1" applyAlignment="1">
      <alignment horizontal="center" vertical="center"/>
    </xf>
    <xf numFmtId="41" fontId="5" fillId="0" borderId="85" xfId="1" applyFont="1" applyBorder="1" applyAlignment="1">
      <alignment horizontal="left" vertical="center"/>
    </xf>
    <xf numFmtId="176" fontId="5" fillId="0" borderId="107" xfId="0" applyNumberFormat="1" applyFont="1" applyBorder="1" applyAlignment="1">
      <alignment horizontal="center" vertical="center"/>
    </xf>
    <xf numFmtId="41" fontId="5" fillId="0" borderId="37" xfId="1" applyFont="1" applyBorder="1" applyAlignment="1">
      <alignment horizontal="left" vertical="center"/>
    </xf>
    <xf numFmtId="0" fontId="5" fillId="0" borderId="61" xfId="0" applyFont="1" applyFill="1" applyBorder="1" applyAlignment="1">
      <alignment horizontal="left" vertical="center"/>
    </xf>
    <xf numFmtId="41" fontId="5" fillId="0" borderId="61" xfId="1" applyFont="1" applyFill="1" applyBorder="1" applyAlignment="1">
      <alignment horizontal="left" vertical="center"/>
    </xf>
    <xf numFmtId="176" fontId="5" fillId="0" borderId="61" xfId="0" applyNumberFormat="1" applyFont="1" applyFill="1" applyBorder="1" applyAlignment="1">
      <alignment horizontal="center" vertical="center"/>
    </xf>
    <xf numFmtId="176" fontId="5" fillId="0" borderId="66" xfId="0" applyNumberFormat="1" applyFont="1" applyFill="1" applyBorder="1" applyAlignment="1">
      <alignment horizontal="center" vertical="center"/>
    </xf>
    <xf numFmtId="41" fontId="5" fillId="6" borderId="5" xfId="1" applyFont="1" applyFill="1" applyBorder="1" applyAlignment="1">
      <alignment horizontal="left" vertical="center"/>
    </xf>
    <xf numFmtId="41" fontId="5" fillId="0" borderId="4" xfId="1" applyFont="1" applyFill="1" applyBorder="1" applyAlignment="1">
      <alignment horizontal="left" vertical="center"/>
    </xf>
    <xf numFmtId="13" fontId="5" fillId="0" borderId="4" xfId="1" applyNumberFormat="1" applyFont="1" applyFill="1" applyBorder="1" applyAlignment="1">
      <alignment horizontal="center" vertical="center"/>
    </xf>
    <xf numFmtId="176" fontId="5" fillId="0" borderId="4" xfId="0" applyNumberFormat="1" applyFont="1" applyFill="1" applyBorder="1" applyAlignment="1">
      <alignment horizontal="center" vertical="center"/>
    </xf>
    <xf numFmtId="0" fontId="5" fillId="0" borderId="120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left" vertical="center"/>
    </xf>
    <xf numFmtId="41" fontId="5" fillId="0" borderId="60" xfId="1" applyFont="1" applyBorder="1" applyAlignment="1">
      <alignment horizontal="center" vertical="center"/>
    </xf>
    <xf numFmtId="41" fontId="5" fillId="0" borderId="39" xfId="1" applyFont="1" applyBorder="1">
      <alignment vertical="center"/>
    </xf>
    <xf numFmtId="41" fontId="5" fillId="0" borderId="52" xfId="1" applyFont="1" applyFill="1" applyBorder="1" applyAlignment="1">
      <alignment horizontal="center" vertical="center"/>
    </xf>
    <xf numFmtId="41" fontId="5" fillId="0" borderId="65" xfId="1" applyFont="1" applyBorder="1" applyAlignment="1">
      <alignment horizontal="center" vertical="center"/>
    </xf>
    <xf numFmtId="41" fontId="5" fillId="0" borderId="48" xfId="1" applyFont="1" applyBorder="1" applyAlignment="1">
      <alignment horizontal="center" vertical="center"/>
    </xf>
    <xf numFmtId="41" fontId="5" fillId="0" borderId="53" xfId="1" applyFont="1" applyFill="1" applyBorder="1" applyAlignment="1">
      <alignment horizontal="center" vertical="center"/>
    </xf>
    <xf numFmtId="0" fontId="5" fillId="0" borderId="46" xfId="0" applyFont="1" applyFill="1" applyBorder="1" applyAlignment="1">
      <alignment horizontal="center" vertical="center"/>
    </xf>
    <xf numFmtId="176" fontId="5" fillId="0" borderId="120" xfId="0" applyNumberFormat="1" applyFont="1" applyFill="1" applyBorder="1" applyAlignment="1">
      <alignment horizontal="center" vertical="center"/>
    </xf>
    <xf numFmtId="176" fontId="5" fillId="0" borderId="48" xfId="0" applyNumberFormat="1" applyFont="1" applyFill="1" applyBorder="1" applyAlignment="1">
      <alignment horizontal="center" vertical="center" wrapText="1"/>
    </xf>
    <xf numFmtId="3" fontId="5" fillId="6" borderId="0" xfId="0" applyNumberFormat="1" applyFont="1" applyFill="1" applyAlignment="1">
      <alignment vertical="center" wrapText="1"/>
    </xf>
    <xf numFmtId="176" fontId="5" fillId="0" borderId="55" xfId="0" applyNumberFormat="1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horizontal="center" vertical="center"/>
    </xf>
    <xf numFmtId="14" fontId="5" fillId="0" borderId="37" xfId="1" applyNumberFormat="1" applyFont="1" applyFill="1" applyBorder="1" applyAlignment="1">
      <alignment horizontal="center" vertical="center"/>
    </xf>
    <xf numFmtId="176" fontId="5" fillId="0" borderId="118" xfId="0" applyNumberFormat="1" applyFont="1" applyFill="1" applyBorder="1" applyAlignment="1">
      <alignment horizontal="center" vertical="center"/>
    </xf>
    <xf numFmtId="176" fontId="5" fillId="0" borderId="55" xfId="0" applyNumberFormat="1" applyFont="1" applyFill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41" fontId="14" fillId="0" borderId="5" xfId="1" applyFont="1" applyFill="1" applyBorder="1" applyAlignment="1">
      <alignment horizontal="center" vertical="center"/>
    </xf>
    <xf numFmtId="41" fontId="14" fillId="9" borderId="5" xfId="1" applyFont="1" applyFill="1" applyBorder="1" applyAlignment="1">
      <alignment horizontal="center" vertical="center"/>
    </xf>
    <xf numFmtId="176" fontId="6" fillId="0" borderId="5" xfId="0" applyNumberFormat="1" applyFont="1" applyBorder="1" applyAlignment="1">
      <alignment horizontal="center" vertical="center"/>
    </xf>
    <xf numFmtId="41" fontId="6" fillId="0" borderId="3" xfId="1" applyFont="1" applyFill="1" applyBorder="1" applyAlignment="1">
      <alignment horizontal="center" vertical="center"/>
    </xf>
    <xf numFmtId="41" fontId="6" fillId="7" borderId="3" xfId="1" applyFont="1" applyFill="1" applyBorder="1" applyAlignment="1">
      <alignment horizontal="center" vertical="center"/>
    </xf>
    <xf numFmtId="41" fontId="6" fillId="0" borderId="5" xfId="1" applyFont="1" applyFill="1" applyBorder="1" applyAlignment="1">
      <alignment horizontal="center" vertical="center"/>
    </xf>
    <xf numFmtId="41" fontId="6" fillId="4" borderId="5" xfId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41" fontId="6" fillId="7" borderId="5" xfId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41" fontId="6" fillId="0" borderId="6" xfId="1" applyFont="1" applyFill="1" applyBorder="1" applyAlignment="1">
      <alignment horizontal="center" vertical="center"/>
    </xf>
    <xf numFmtId="41" fontId="6" fillId="7" borderId="6" xfId="1" applyFont="1" applyFill="1" applyBorder="1" applyAlignment="1">
      <alignment horizontal="center" vertical="center"/>
    </xf>
    <xf numFmtId="41" fontId="6" fillId="4" borderId="6" xfId="1" applyFont="1" applyFill="1" applyBorder="1" applyAlignment="1">
      <alignment horizontal="right" vertical="center"/>
    </xf>
    <xf numFmtId="176" fontId="6" fillId="0" borderId="6" xfId="0" applyNumberFormat="1" applyFont="1" applyBorder="1" applyAlignment="1">
      <alignment horizontal="center" vertical="center"/>
    </xf>
    <xf numFmtId="41" fontId="6" fillId="0" borderId="5" xfId="1" applyFont="1" applyFill="1" applyBorder="1" applyAlignment="1">
      <alignment horizontal="right" vertical="center"/>
    </xf>
    <xf numFmtId="176" fontId="6" fillId="0" borderId="48" xfId="0" applyNumberFormat="1" applyFont="1" applyBorder="1" applyAlignment="1">
      <alignment horizontal="center" vertical="center"/>
    </xf>
    <xf numFmtId="176" fontId="6" fillId="0" borderId="56" xfId="0" applyNumberFormat="1" applyFont="1" applyBorder="1" applyAlignment="1">
      <alignment horizontal="center" vertical="center"/>
    </xf>
    <xf numFmtId="176" fontId="6" fillId="0" borderId="57" xfId="0" applyNumberFormat="1" applyFont="1" applyBorder="1" applyAlignment="1">
      <alignment horizontal="center" vertical="center"/>
    </xf>
    <xf numFmtId="176" fontId="6" fillId="0" borderId="48" xfId="0" applyNumberFormat="1" applyFont="1" applyBorder="1" applyAlignment="1">
      <alignment horizontal="center" vertical="center" wrapText="1"/>
    </xf>
    <xf numFmtId="41" fontId="5" fillId="0" borderId="78" xfId="1" applyFont="1" applyFill="1" applyBorder="1" applyAlignment="1">
      <alignment horizontal="center" vertical="center" wrapText="1"/>
    </xf>
    <xf numFmtId="41" fontId="7" fillId="0" borderId="39" xfId="1" applyFont="1" applyFill="1" applyBorder="1" applyAlignment="1">
      <alignment horizontal="center" vertical="center"/>
    </xf>
    <xf numFmtId="41" fontId="5" fillId="0" borderId="77" xfId="1" applyFont="1" applyFill="1" applyBorder="1" applyAlignment="1">
      <alignment horizontal="center" vertical="center" wrapText="1"/>
    </xf>
    <xf numFmtId="0" fontId="10" fillId="0" borderId="80" xfId="0" applyFont="1" applyFill="1" applyBorder="1" applyAlignment="1">
      <alignment horizontal="center" vertical="center"/>
    </xf>
    <xf numFmtId="41" fontId="7" fillId="0" borderId="44" xfId="1" applyFont="1" applyFill="1" applyBorder="1" applyAlignment="1">
      <alignment horizontal="center" vertical="center"/>
    </xf>
    <xf numFmtId="176" fontId="5" fillId="0" borderId="44" xfId="0" applyNumberFormat="1" applyFont="1" applyFill="1" applyBorder="1" applyAlignment="1">
      <alignment horizontal="center" vertical="center"/>
    </xf>
    <xf numFmtId="41" fontId="7" fillId="0" borderId="37" xfId="1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176" fontId="6" fillId="0" borderId="5" xfId="0" applyNumberFormat="1" applyFont="1" applyFill="1" applyBorder="1" applyAlignment="1">
      <alignment horizontal="center" vertical="center"/>
    </xf>
    <xf numFmtId="176" fontId="6" fillId="0" borderId="48" xfId="0" applyNumberFormat="1" applyFont="1" applyFill="1" applyBorder="1" applyAlignment="1">
      <alignment horizontal="center" vertical="center"/>
    </xf>
    <xf numFmtId="176" fontId="6" fillId="0" borderId="48" xfId="0" applyNumberFormat="1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left" vertical="center"/>
    </xf>
    <xf numFmtId="41" fontId="7" fillId="0" borderId="80" xfId="1" applyFont="1" applyFill="1" applyBorder="1" applyAlignment="1">
      <alignment horizontal="center" vertical="center"/>
    </xf>
    <xf numFmtId="41" fontId="5" fillId="0" borderId="89" xfId="1" applyFont="1" applyFill="1" applyBorder="1" applyAlignment="1">
      <alignment horizontal="center" vertical="center" wrapText="1"/>
    </xf>
    <xf numFmtId="41" fontId="5" fillId="0" borderId="48" xfId="1" applyFont="1" applyFill="1" applyBorder="1" applyAlignment="1">
      <alignment horizontal="center" vertical="center" wrapText="1"/>
    </xf>
    <xf numFmtId="41" fontId="7" fillId="0" borderId="85" xfId="1" applyFont="1" applyFill="1" applyBorder="1" applyAlignment="1">
      <alignment horizontal="center" vertical="center"/>
    </xf>
    <xf numFmtId="41" fontId="5" fillId="0" borderId="107" xfId="1" applyFont="1" applyFill="1" applyBorder="1" applyAlignment="1">
      <alignment horizontal="center" vertical="center" wrapText="1"/>
    </xf>
    <xf numFmtId="0" fontId="5" fillId="0" borderId="90" xfId="0" applyFont="1" applyBorder="1" applyAlignment="1">
      <alignment horizontal="center" vertical="center"/>
    </xf>
    <xf numFmtId="41" fontId="5" fillId="0" borderId="89" xfId="1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0" fillId="0" borderId="85" xfId="0" applyFont="1" applyFill="1" applyBorder="1" applyAlignment="1">
      <alignment horizontal="center" vertical="center"/>
    </xf>
    <xf numFmtId="41" fontId="5" fillId="0" borderId="85" xfId="1" applyFont="1" applyBorder="1" applyAlignment="1">
      <alignment horizontal="center" vertical="center"/>
    </xf>
    <xf numFmtId="14" fontId="5" fillId="0" borderId="85" xfId="1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vertical="center" wrapText="1"/>
    </xf>
    <xf numFmtId="176" fontId="0" fillId="0" borderId="0" xfId="0" applyNumberFormat="1">
      <alignment vertical="center"/>
    </xf>
    <xf numFmtId="3" fontId="6" fillId="0" borderId="5" xfId="0" applyNumberFormat="1" applyFont="1" applyFill="1" applyBorder="1" applyAlignment="1">
      <alignment vertical="center" wrapText="1"/>
    </xf>
    <xf numFmtId="0" fontId="4" fillId="3" borderId="122" xfId="0" applyFont="1" applyFill="1" applyBorder="1" applyAlignment="1">
      <alignment horizontal="center" vertical="center"/>
    </xf>
    <xf numFmtId="0" fontId="4" fillId="3" borderId="87" xfId="0" applyFont="1" applyFill="1" applyBorder="1" applyAlignment="1">
      <alignment horizontal="center" vertical="center"/>
    </xf>
    <xf numFmtId="0" fontId="4" fillId="3" borderId="88" xfId="0" applyFont="1" applyFill="1" applyBorder="1" applyAlignment="1">
      <alignment horizontal="center" vertical="center"/>
    </xf>
    <xf numFmtId="0" fontId="4" fillId="3" borderId="81" xfId="0" applyFont="1" applyFill="1" applyBorder="1" applyAlignment="1">
      <alignment horizontal="center" vertical="center"/>
    </xf>
    <xf numFmtId="0" fontId="4" fillId="3" borderId="74" xfId="0" applyFont="1" applyFill="1" applyBorder="1" applyAlignment="1">
      <alignment horizontal="center" vertical="center"/>
    </xf>
    <xf numFmtId="0" fontId="4" fillId="3" borderId="44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41" fontId="4" fillId="0" borderId="123" xfId="1" applyFont="1" applyBorder="1" applyAlignment="1">
      <alignment horizontal="center" vertical="center"/>
    </xf>
    <xf numFmtId="0" fontId="5" fillId="0" borderId="124" xfId="0" applyFont="1" applyBorder="1" applyAlignment="1">
      <alignment horizontal="center" vertical="center"/>
    </xf>
    <xf numFmtId="0" fontId="5" fillId="0" borderId="125" xfId="0" applyFont="1" applyFill="1" applyBorder="1" applyAlignment="1">
      <alignment horizontal="center" vertical="center"/>
    </xf>
    <xf numFmtId="41" fontId="5" fillId="0" borderId="125" xfId="1" applyFont="1" applyFill="1" applyBorder="1" applyAlignment="1">
      <alignment horizontal="center" vertical="center"/>
    </xf>
    <xf numFmtId="13" fontId="5" fillId="0" borderId="125" xfId="1" applyNumberFormat="1" applyFont="1" applyFill="1" applyBorder="1" applyAlignment="1">
      <alignment horizontal="center" vertical="center"/>
    </xf>
    <xf numFmtId="41" fontId="5" fillId="0" borderId="126" xfId="1" applyFont="1" applyFill="1" applyBorder="1" applyAlignment="1">
      <alignment horizontal="center" vertical="center"/>
    </xf>
    <xf numFmtId="0" fontId="5" fillId="0" borderId="127" xfId="0" applyFont="1" applyBorder="1" applyAlignment="1">
      <alignment horizontal="center" vertical="center"/>
    </xf>
    <xf numFmtId="0" fontId="10" fillId="0" borderId="128" xfId="0" applyFont="1" applyFill="1" applyBorder="1" applyAlignment="1">
      <alignment horizontal="center" vertical="center"/>
    </xf>
    <xf numFmtId="41" fontId="5" fillId="0" borderId="128" xfId="1" applyFont="1" applyBorder="1" applyAlignment="1">
      <alignment horizontal="center" vertical="center"/>
    </xf>
    <xf numFmtId="14" fontId="5" fillId="0" borderId="128" xfId="1" applyNumberFormat="1" applyFont="1" applyFill="1" applyBorder="1" applyAlignment="1">
      <alignment horizontal="center" vertical="center"/>
    </xf>
    <xf numFmtId="41" fontId="5" fillId="0" borderId="129" xfId="1" applyFont="1" applyFill="1" applyBorder="1" applyAlignment="1">
      <alignment horizontal="center" vertical="center"/>
    </xf>
    <xf numFmtId="0" fontId="6" fillId="0" borderId="124" xfId="0" applyFont="1" applyBorder="1" applyAlignment="1">
      <alignment horizontal="center" vertical="center"/>
    </xf>
    <xf numFmtId="0" fontId="6" fillId="0" borderId="125" xfId="0" applyFont="1" applyBorder="1" applyAlignment="1">
      <alignment horizontal="left" vertical="center"/>
    </xf>
    <xf numFmtId="41" fontId="14" fillId="0" borderId="125" xfId="1" applyFont="1" applyFill="1" applyBorder="1" applyAlignment="1">
      <alignment horizontal="center" vertical="center"/>
    </xf>
    <xf numFmtId="41" fontId="14" fillId="9" borderId="125" xfId="1" applyFont="1" applyFill="1" applyBorder="1" applyAlignment="1">
      <alignment horizontal="center" vertical="center"/>
    </xf>
    <xf numFmtId="176" fontId="6" fillId="0" borderId="125" xfId="0" applyNumberFormat="1" applyFont="1" applyBorder="1" applyAlignment="1">
      <alignment horizontal="center" vertical="center"/>
    </xf>
    <xf numFmtId="176" fontId="6" fillId="0" borderId="126" xfId="0" applyNumberFormat="1" applyFont="1" applyBorder="1" applyAlignment="1">
      <alignment horizontal="center" vertical="center"/>
    </xf>
    <xf numFmtId="41" fontId="6" fillId="4" borderId="5" xfId="1" applyFont="1" applyFill="1" applyBorder="1" applyAlignment="1">
      <alignment horizontal="right" vertical="center"/>
    </xf>
    <xf numFmtId="0" fontId="6" fillId="0" borderId="127" xfId="0" applyFont="1" applyBorder="1" applyAlignment="1">
      <alignment horizontal="center" vertical="center"/>
    </xf>
    <xf numFmtId="0" fontId="6" fillId="0" borderId="128" xfId="0" applyFont="1" applyBorder="1" applyAlignment="1">
      <alignment horizontal="left" vertical="center"/>
    </xf>
    <xf numFmtId="41" fontId="6" fillId="0" borderId="128" xfId="1" applyFont="1" applyFill="1" applyBorder="1" applyAlignment="1">
      <alignment horizontal="right" vertical="center"/>
    </xf>
    <xf numFmtId="176" fontId="6" fillId="0" borderId="128" xfId="0" applyNumberFormat="1" applyFont="1" applyBorder="1" applyAlignment="1">
      <alignment horizontal="center" vertical="center"/>
    </xf>
    <xf numFmtId="176" fontId="6" fillId="0" borderId="129" xfId="0" applyNumberFormat="1" applyFont="1" applyBorder="1" applyAlignment="1">
      <alignment horizontal="center" vertical="center"/>
    </xf>
    <xf numFmtId="0" fontId="5" fillId="0" borderId="127" xfId="0" applyFont="1" applyFill="1" applyBorder="1" applyAlignment="1">
      <alignment horizontal="center" vertical="center"/>
    </xf>
    <xf numFmtId="0" fontId="5" fillId="0" borderId="128" xfId="0" applyFont="1" applyFill="1" applyBorder="1" applyAlignment="1">
      <alignment horizontal="center" vertical="center" shrinkToFit="1"/>
    </xf>
    <xf numFmtId="41" fontId="5" fillId="0" borderId="128" xfId="1" applyFont="1" applyFill="1" applyBorder="1" applyAlignment="1">
      <alignment horizontal="center" vertical="center"/>
    </xf>
    <xf numFmtId="0" fontId="6" fillId="0" borderId="124" xfId="0" applyFont="1" applyFill="1" applyBorder="1" applyAlignment="1">
      <alignment horizontal="center" vertical="center"/>
    </xf>
    <xf numFmtId="0" fontId="6" fillId="0" borderId="125" xfId="0" applyFont="1" applyFill="1" applyBorder="1" applyAlignment="1">
      <alignment horizontal="left" vertical="center"/>
    </xf>
    <xf numFmtId="41" fontId="6" fillId="0" borderId="125" xfId="1" applyFont="1" applyFill="1" applyBorder="1" applyAlignment="1">
      <alignment horizontal="center" vertical="center"/>
    </xf>
    <xf numFmtId="176" fontId="6" fillId="0" borderId="125" xfId="0" applyNumberFormat="1" applyFont="1" applyFill="1" applyBorder="1" applyAlignment="1">
      <alignment horizontal="center" vertical="center"/>
    </xf>
    <xf numFmtId="176" fontId="6" fillId="0" borderId="126" xfId="0" applyNumberFormat="1" applyFont="1" applyFill="1" applyBorder="1" applyAlignment="1">
      <alignment horizontal="center" vertical="center"/>
    </xf>
    <xf numFmtId="0" fontId="6" fillId="0" borderId="127" xfId="0" applyFont="1" applyFill="1" applyBorder="1" applyAlignment="1">
      <alignment horizontal="center" vertical="center"/>
    </xf>
    <xf numFmtId="0" fontId="6" fillId="0" borderId="128" xfId="0" applyFont="1" applyFill="1" applyBorder="1" applyAlignment="1">
      <alignment horizontal="left" vertical="center"/>
    </xf>
    <xf numFmtId="176" fontId="6" fillId="0" borderId="128" xfId="0" applyNumberFormat="1" applyFont="1" applyFill="1" applyBorder="1" applyAlignment="1">
      <alignment horizontal="center" vertical="center"/>
    </xf>
    <xf numFmtId="176" fontId="6" fillId="0" borderId="129" xfId="0" applyNumberFormat="1" applyFont="1" applyFill="1" applyBorder="1" applyAlignment="1">
      <alignment horizontal="center" vertical="center"/>
    </xf>
    <xf numFmtId="0" fontId="6" fillId="0" borderId="53" xfId="0" applyFont="1" applyBorder="1" applyAlignment="1">
      <alignment horizontal="center" vertical="center"/>
    </xf>
    <xf numFmtId="41" fontId="6" fillId="0" borderId="3" xfId="1" applyFont="1" applyFill="1" applyBorder="1" applyAlignment="1">
      <alignment horizontal="right" vertical="center"/>
    </xf>
    <xf numFmtId="176" fontId="6" fillId="0" borderId="3" xfId="0" applyNumberFormat="1" applyFont="1" applyBorder="1" applyAlignment="1">
      <alignment horizontal="center" vertical="center"/>
    </xf>
    <xf numFmtId="0" fontId="6" fillId="0" borderId="49" xfId="0" applyFont="1" applyBorder="1" applyAlignment="1">
      <alignment horizontal="center" vertical="center"/>
    </xf>
    <xf numFmtId="0" fontId="6" fillId="0" borderId="37" xfId="0" applyFont="1" applyBorder="1" applyAlignment="1">
      <alignment horizontal="left" vertical="center"/>
    </xf>
    <xf numFmtId="41" fontId="6" fillId="0" borderId="37" xfId="1" applyFont="1" applyFill="1" applyBorder="1" applyAlignment="1">
      <alignment horizontal="right" vertical="center"/>
    </xf>
    <xf numFmtId="176" fontId="6" fillId="0" borderId="37" xfId="0" applyNumberFormat="1" applyFont="1" applyBorder="1" applyAlignment="1">
      <alignment horizontal="center" vertical="center"/>
    </xf>
    <xf numFmtId="176" fontId="6" fillId="0" borderId="60" xfId="0" applyNumberFormat="1" applyFont="1" applyBorder="1" applyAlignment="1">
      <alignment horizontal="center" vertical="center"/>
    </xf>
    <xf numFmtId="0" fontId="4" fillId="3" borderId="121" xfId="0" applyFont="1" applyFill="1" applyBorder="1" applyAlignment="1">
      <alignment horizontal="center" vertical="center"/>
    </xf>
    <xf numFmtId="0" fontId="4" fillId="3" borderId="130" xfId="0" applyFont="1" applyFill="1" applyBorder="1" applyAlignment="1">
      <alignment horizontal="center" vertical="center"/>
    </xf>
    <xf numFmtId="0" fontId="4" fillId="3" borderId="131" xfId="0" applyFont="1" applyFill="1" applyBorder="1" applyAlignment="1">
      <alignment horizontal="center" vertical="center"/>
    </xf>
    <xf numFmtId="0" fontId="4" fillId="3" borderId="132" xfId="0" applyFont="1" applyFill="1" applyBorder="1" applyAlignment="1">
      <alignment horizontal="center" vertical="center"/>
    </xf>
    <xf numFmtId="41" fontId="5" fillId="0" borderId="65" xfId="1" applyFont="1" applyFill="1" applyBorder="1" applyAlignment="1">
      <alignment horizontal="center" vertical="center" wrapText="1"/>
    </xf>
    <xf numFmtId="176" fontId="6" fillId="0" borderId="56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6" fontId="6" fillId="0" borderId="65" xfId="0" applyNumberFormat="1" applyFont="1" applyFill="1" applyBorder="1" applyAlignment="1">
      <alignment horizontal="center" vertical="center"/>
    </xf>
    <xf numFmtId="176" fontId="6" fillId="0" borderId="50" xfId="0" applyNumberFormat="1" applyFont="1" applyBorder="1" applyAlignment="1">
      <alignment horizontal="center" vertical="center"/>
    </xf>
    <xf numFmtId="176" fontId="6" fillId="0" borderId="65" xfId="0" applyNumberFormat="1" applyFont="1" applyBorder="1" applyAlignment="1">
      <alignment horizontal="center" vertical="center"/>
    </xf>
    <xf numFmtId="41" fontId="6" fillId="0" borderId="37" xfId="1" applyFont="1" applyFill="1" applyBorder="1" applyAlignment="1">
      <alignment horizontal="center" vertical="center"/>
    </xf>
    <xf numFmtId="176" fontId="6" fillId="0" borderId="37" xfId="0" applyNumberFormat="1" applyFont="1" applyFill="1" applyBorder="1" applyAlignment="1">
      <alignment horizontal="center" vertical="center"/>
    </xf>
    <xf numFmtId="176" fontId="6" fillId="0" borderId="60" xfId="0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4" fontId="5" fillId="0" borderId="6" xfId="1" applyNumberFormat="1" applyFont="1" applyFill="1" applyBorder="1" applyAlignment="1">
      <alignment horizontal="center" vertical="center"/>
    </xf>
    <xf numFmtId="0" fontId="6" fillId="0" borderId="62" xfId="0" applyFont="1" applyBorder="1" applyAlignment="1">
      <alignment horizontal="center" vertical="center"/>
    </xf>
    <xf numFmtId="41" fontId="6" fillId="0" borderId="6" xfId="1" applyFont="1" applyFill="1" applyBorder="1" applyAlignment="1">
      <alignment horizontal="right" vertical="center"/>
    </xf>
    <xf numFmtId="0" fontId="4" fillId="0" borderId="114" xfId="0" applyFont="1" applyBorder="1" applyAlignment="1">
      <alignment vertical="center"/>
    </xf>
    <xf numFmtId="176" fontId="4" fillId="0" borderId="131" xfId="0" applyNumberFormat="1" applyFont="1" applyBorder="1" applyAlignment="1">
      <alignment horizontal="center" vertical="center"/>
    </xf>
    <xf numFmtId="41" fontId="4" fillId="0" borderId="133" xfId="1" applyFont="1" applyBorder="1" applyAlignment="1">
      <alignment horizontal="center" vertical="center"/>
    </xf>
    <xf numFmtId="41" fontId="4" fillId="0" borderId="132" xfId="1" applyFont="1" applyBorder="1" applyAlignment="1">
      <alignment horizontal="center" vertical="center"/>
    </xf>
    <xf numFmtId="41" fontId="4" fillId="0" borderId="116" xfId="1" applyFont="1" applyBorder="1" applyAlignment="1">
      <alignment horizontal="center" vertical="center"/>
    </xf>
    <xf numFmtId="41" fontId="4" fillId="0" borderId="130" xfId="1" applyFont="1" applyBorder="1" applyAlignment="1">
      <alignment horizontal="center" vertical="center"/>
    </xf>
    <xf numFmtId="41" fontId="4" fillId="0" borderId="131" xfId="1" applyFont="1" applyBorder="1" applyAlignment="1">
      <alignment horizontal="center" vertical="center"/>
    </xf>
    <xf numFmtId="3" fontId="8" fillId="0" borderId="132" xfId="0" applyNumberFormat="1" applyFont="1" applyBorder="1" applyAlignment="1">
      <alignment horizontal="center" vertical="center"/>
    </xf>
    <xf numFmtId="3" fontId="8" fillId="0" borderId="116" xfId="0" applyNumberFormat="1" applyFont="1" applyBorder="1" applyAlignment="1">
      <alignment horizontal="center" vertical="center"/>
    </xf>
    <xf numFmtId="176" fontId="6" fillId="0" borderId="65" xfId="0" applyNumberFormat="1" applyFont="1" applyFill="1" applyBorder="1" applyAlignment="1">
      <alignment horizontal="center" vertical="center" wrapText="1"/>
    </xf>
    <xf numFmtId="0" fontId="4" fillId="3" borderId="134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left" vertical="center"/>
    </xf>
    <xf numFmtId="176" fontId="6" fillId="0" borderId="128" xfId="0" quotePrefix="1" applyNumberFormat="1" applyFont="1" applyFill="1" applyBorder="1" applyAlignment="1">
      <alignment horizontal="center" vertical="center"/>
    </xf>
    <xf numFmtId="0" fontId="5" fillId="0" borderId="61" xfId="0" applyFont="1" applyBorder="1" applyAlignment="1">
      <alignment horizontal="left" vertical="center"/>
    </xf>
    <xf numFmtId="41" fontId="5" fillId="0" borderId="61" xfId="1" applyFont="1" applyBorder="1" applyAlignment="1">
      <alignment horizontal="center" vertical="center"/>
    </xf>
    <xf numFmtId="41" fontId="5" fillId="0" borderId="61" xfId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41" fontId="0" fillId="0" borderId="0" xfId="0" applyNumberFormat="1" applyFill="1" applyAlignment="1">
      <alignment horizontal="right" vertical="center"/>
    </xf>
    <xf numFmtId="0" fontId="12" fillId="3" borderId="130" xfId="0" applyFont="1" applyFill="1" applyBorder="1" applyAlignment="1">
      <alignment horizontal="center" vertical="center"/>
    </xf>
    <xf numFmtId="0" fontId="12" fillId="3" borderId="131" xfId="0" applyFont="1" applyFill="1" applyBorder="1" applyAlignment="1">
      <alignment horizontal="center" vertical="center"/>
    </xf>
    <xf numFmtId="0" fontId="12" fillId="3" borderId="132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41" fontId="15" fillId="0" borderId="5" xfId="1" applyFont="1" applyBorder="1">
      <alignment vertical="center"/>
    </xf>
    <xf numFmtId="41" fontId="15" fillId="0" borderId="65" xfId="1" applyFont="1" applyBorder="1" applyAlignment="1">
      <alignment horizontal="center" vertical="center"/>
    </xf>
    <xf numFmtId="0" fontId="15" fillId="0" borderId="58" xfId="0" applyFont="1" applyBorder="1" applyAlignment="1">
      <alignment horizontal="center" vertical="center"/>
    </xf>
    <xf numFmtId="0" fontId="15" fillId="0" borderId="80" xfId="0" applyFont="1" applyBorder="1" applyAlignment="1">
      <alignment horizontal="left" vertical="center"/>
    </xf>
    <xf numFmtId="41" fontId="15" fillId="0" borderId="5" xfId="1" applyFont="1" applyBorder="1" applyAlignment="1">
      <alignment horizontal="center" vertical="center"/>
    </xf>
    <xf numFmtId="176" fontId="15" fillId="0" borderId="3" xfId="0" applyNumberFormat="1" applyFont="1" applyBorder="1" applyAlignment="1">
      <alignment horizontal="center" vertical="center"/>
    </xf>
    <xf numFmtId="176" fontId="15" fillId="0" borderId="65" xfId="0" applyNumberFormat="1" applyFont="1" applyFill="1" applyBorder="1" applyAlignment="1">
      <alignment horizontal="center" vertical="center" wrapText="1"/>
    </xf>
    <xf numFmtId="0" fontId="15" fillId="0" borderId="32" xfId="0" applyFont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41" fontId="15" fillId="0" borderId="5" xfId="1" applyFont="1" applyFill="1" applyBorder="1" applyAlignment="1">
      <alignment horizontal="center" vertical="center"/>
    </xf>
    <xf numFmtId="13" fontId="15" fillId="0" borderId="5" xfId="1" applyNumberFormat="1" applyFont="1" applyFill="1" applyBorder="1" applyAlignment="1">
      <alignment horizontal="center" vertical="center"/>
    </xf>
    <xf numFmtId="41" fontId="15" fillId="0" borderId="48" xfId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left" vertical="center"/>
    </xf>
    <xf numFmtId="176" fontId="15" fillId="0" borderId="48" xfId="0" applyNumberFormat="1" applyFont="1" applyFill="1" applyBorder="1" applyAlignment="1">
      <alignment horizontal="center" vertical="center"/>
    </xf>
    <xf numFmtId="176" fontId="15" fillId="0" borderId="5" xfId="0" applyNumberFormat="1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15" fillId="0" borderId="37" xfId="0" applyFont="1" applyFill="1" applyBorder="1" applyAlignment="1">
      <alignment horizontal="center" vertical="center"/>
    </xf>
    <xf numFmtId="41" fontId="15" fillId="0" borderId="37" xfId="1" applyFont="1" applyFill="1" applyBorder="1" applyAlignment="1">
      <alignment horizontal="center" vertical="center"/>
    </xf>
    <xf numFmtId="13" fontId="15" fillId="0" borderId="37" xfId="1" applyNumberFormat="1" applyFont="1" applyFill="1" applyBorder="1" applyAlignment="1">
      <alignment horizontal="center" vertical="center"/>
    </xf>
    <xf numFmtId="41" fontId="15" fillId="0" borderId="60" xfId="1" applyFont="1" applyFill="1" applyBorder="1" applyAlignment="1">
      <alignment horizontal="center" vertical="center"/>
    </xf>
    <xf numFmtId="0" fontId="15" fillId="0" borderId="3" xfId="0" applyFont="1" applyBorder="1" applyAlignment="1">
      <alignment horizontal="left" vertical="center"/>
    </xf>
    <xf numFmtId="41" fontId="15" fillId="0" borderId="3" xfId="1" applyFont="1" applyBorder="1" applyAlignment="1">
      <alignment horizontal="center" vertical="center"/>
    </xf>
    <xf numFmtId="0" fontId="15" fillId="0" borderId="53" xfId="0" applyFont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41" fontId="15" fillId="0" borderId="3" xfId="1" applyFont="1" applyFill="1" applyBorder="1" applyAlignment="1">
      <alignment horizontal="center" vertical="center"/>
    </xf>
    <xf numFmtId="13" fontId="15" fillId="0" borderId="3" xfId="1" applyNumberFormat="1" applyFont="1" applyFill="1" applyBorder="1" applyAlignment="1">
      <alignment horizontal="center" vertical="center"/>
    </xf>
    <xf numFmtId="41" fontId="15" fillId="0" borderId="65" xfId="1" applyFont="1" applyFill="1" applyBorder="1" applyAlignment="1">
      <alignment horizontal="center" vertical="center"/>
    </xf>
    <xf numFmtId="0" fontId="15" fillId="0" borderId="53" xfId="0" applyFont="1" applyFill="1" applyBorder="1" applyAlignment="1">
      <alignment horizontal="center" vertical="center"/>
    </xf>
    <xf numFmtId="14" fontId="15" fillId="0" borderId="3" xfId="1" applyNumberFormat="1" applyFont="1" applyFill="1" applyBorder="1" applyAlignment="1">
      <alignment horizontal="center" vertical="center"/>
    </xf>
    <xf numFmtId="0" fontId="15" fillId="0" borderId="6" xfId="0" applyFont="1" applyBorder="1" applyAlignment="1">
      <alignment horizontal="left" vertical="center"/>
    </xf>
    <xf numFmtId="41" fontId="15" fillId="0" borderId="6" xfId="1" applyFont="1" applyBorder="1" applyAlignment="1">
      <alignment horizontal="center" vertical="center"/>
    </xf>
    <xf numFmtId="176" fontId="15" fillId="0" borderId="44" xfId="0" applyNumberFormat="1" applyFont="1" applyBorder="1" applyAlignment="1">
      <alignment horizontal="center" vertical="center"/>
    </xf>
    <xf numFmtId="176" fontId="15" fillId="0" borderId="99" xfId="0" applyNumberFormat="1" applyFont="1" applyFill="1" applyBorder="1" applyAlignment="1">
      <alignment horizontal="center" vertical="center" wrapText="1"/>
    </xf>
    <xf numFmtId="176" fontId="15" fillId="0" borderId="6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14" fontId="15" fillId="0" borderId="5" xfId="1" applyNumberFormat="1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left" vertical="center"/>
    </xf>
    <xf numFmtId="41" fontId="15" fillId="0" borderId="5" xfId="1" applyFont="1" applyFill="1" applyBorder="1" applyAlignment="1">
      <alignment horizontal="right" vertical="center"/>
    </xf>
    <xf numFmtId="41" fontId="15" fillId="0" borderId="5" xfId="1" applyFont="1" applyBorder="1" applyAlignment="1">
      <alignment horizontal="left" vertical="center"/>
    </xf>
    <xf numFmtId="176" fontId="15" fillId="0" borderId="5" xfId="0" applyNumberFormat="1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left" vertical="center"/>
    </xf>
    <xf numFmtId="41" fontId="15" fillId="0" borderId="3" xfId="1" applyFont="1" applyBorder="1" applyAlignment="1">
      <alignment horizontal="left" vertical="center"/>
    </xf>
    <xf numFmtId="0" fontId="15" fillId="0" borderId="37" xfId="0" applyFont="1" applyFill="1" applyBorder="1" applyAlignment="1">
      <alignment horizontal="left" vertical="center"/>
    </xf>
    <xf numFmtId="3" fontId="15" fillId="0" borderId="37" xfId="0" applyNumberFormat="1" applyFont="1" applyFill="1" applyBorder="1" applyAlignment="1">
      <alignment vertical="center" wrapText="1"/>
    </xf>
    <xf numFmtId="176" fontId="15" fillId="0" borderId="37" xfId="0" applyNumberFormat="1" applyFont="1" applyFill="1" applyBorder="1" applyAlignment="1">
      <alignment horizontal="center" vertical="center"/>
    </xf>
    <xf numFmtId="176" fontId="15" fillId="0" borderId="60" xfId="0" applyNumberFormat="1" applyFont="1" applyFill="1" applyBorder="1" applyAlignment="1">
      <alignment horizontal="center" vertical="center"/>
    </xf>
    <xf numFmtId="176" fontId="15" fillId="0" borderId="65" xfId="0" applyNumberFormat="1" applyFont="1" applyBorder="1" applyAlignment="1">
      <alignment horizontal="center" vertical="center"/>
    </xf>
    <xf numFmtId="176" fontId="15" fillId="0" borderId="48" xfId="0" applyNumberFormat="1" applyFont="1" applyBorder="1" applyAlignment="1">
      <alignment horizontal="center" vertical="center"/>
    </xf>
    <xf numFmtId="41" fontId="15" fillId="4" borderId="5" xfId="1" applyFont="1" applyFill="1" applyBorder="1" applyAlignment="1">
      <alignment horizontal="right" vertical="center"/>
    </xf>
    <xf numFmtId="0" fontId="12" fillId="0" borderId="114" xfId="0" applyFont="1" applyBorder="1" applyAlignment="1">
      <alignment vertical="center"/>
    </xf>
    <xf numFmtId="176" fontId="12" fillId="0" borderId="131" xfId="0" applyNumberFormat="1" applyFont="1" applyBorder="1" applyAlignment="1">
      <alignment horizontal="center" vertical="center"/>
    </xf>
    <xf numFmtId="41" fontId="12" fillId="0" borderId="133" xfId="1" applyFont="1" applyBorder="1" applyAlignment="1">
      <alignment horizontal="center" vertical="center"/>
    </xf>
    <xf numFmtId="41" fontId="12" fillId="0" borderId="132" xfId="1" applyFont="1" applyBorder="1" applyAlignment="1">
      <alignment horizontal="center" vertical="center"/>
    </xf>
    <xf numFmtId="41" fontId="12" fillId="0" borderId="116" xfId="1" applyFont="1" applyBorder="1" applyAlignment="1">
      <alignment horizontal="center" vertical="center"/>
    </xf>
    <xf numFmtId="41" fontId="12" fillId="0" borderId="130" xfId="1" applyFont="1" applyBorder="1" applyAlignment="1">
      <alignment horizontal="center" vertical="center"/>
    </xf>
    <xf numFmtId="41" fontId="12" fillId="0" borderId="131" xfId="1" applyFont="1" applyBorder="1" applyAlignment="1">
      <alignment horizontal="center" vertical="center"/>
    </xf>
    <xf numFmtId="3" fontId="17" fillId="0" borderId="132" xfId="0" applyNumberFormat="1" applyFont="1" applyBorder="1" applyAlignment="1">
      <alignment horizontal="center" vertical="center"/>
    </xf>
    <xf numFmtId="3" fontId="17" fillId="0" borderId="116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2" fillId="3" borderId="134" xfId="0" applyFont="1" applyFill="1" applyBorder="1" applyAlignment="1">
      <alignment horizontal="center" vertical="center"/>
    </xf>
    <xf numFmtId="0" fontId="15" fillId="0" borderId="124" xfId="0" applyFont="1" applyFill="1" applyBorder="1" applyAlignment="1">
      <alignment horizontal="center" vertical="center"/>
    </xf>
    <xf numFmtId="0" fontId="15" fillId="0" borderId="125" xfId="0" applyFont="1" applyFill="1" applyBorder="1" applyAlignment="1">
      <alignment horizontal="left" vertical="center"/>
    </xf>
    <xf numFmtId="41" fontId="18" fillId="0" borderId="125" xfId="1" applyFont="1" applyFill="1" applyBorder="1" applyAlignment="1">
      <alignment horizontal="left" vertical="center"/>
    </xf>
    <xf numFmtId="176" fontId="15" fillId="0" borderId="125" xfId="0" applyNumberFormat="1" applyFont="1" applyFill="1" applyBorder="1" applyAlignment="1">
      <alignment horizontal="center" vertical="center"/>
    </xf>
    <xf numFmtId="176" fontId="15" fillId="0" borderId="135" xfId="0" applyNumberFormat="1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center" vertical="center"/>
    </xf>
    <xf numFmtId="41" fontId="18" fillId="0" borderId="5" xfId="1" applyFont="1" applyFill="1" applyBorder="1" applyAlignment="1">
      <alignment horizontal="left" vertical="center"/>
    </xf>
    <xf numFmtId="41" fontId="18" fillId="0" borderId="5" xfId="1" applyFont="1" applyFill="1" applyBorder="1" applyAlignment="1">
      <alignment horizontal="center" vertical="center"/>
    </xf>
    <xf numFmtId="41" fontId="15" fillId="0" borderId="5" xfId="1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left" vertical="center" shrinkToFit="1"/>
    </xf>
    <xf numFmtId="0" fontId="15" fillId="0" borderId="3" xfId="0" applyFont="1" applyFill="1" applyBorder="1" applyAlignment="1">
      <alignment horizontal="left" vertical="center"/>
    </xf>
    <xf numFmtId="0" fontId="15" fillId="0" borderId="49" xfId="0" applyFont="1" applyFill="1" applyBorder="1" applyAlignment="1">
      <alignment horizontal="center" vertical="center"/>
    </xf>
    <xf numFmtId="41" fontId="15" fillId="0" borderId="3" xfId="1" applyFont="1" applyFill="1" applyBorder="1" applyAlignment="1">
      <alignment horizontal="left" vertical="center"/>
    </xf>
    <xf numFmtId="41" fontId="18" fillId="0" borderId="3" xfId="1" applyFont="1" applyFill="1" applyBorder="1" applyAlignment="1">
      <alignment horizontal="center" vertical="center"/>
    </xf>
    <xf numFmtId="41" fontId="15" fillId="0" borderId="37" xfId="1" applyFont="1" applyFill="1" applyBorder="1" applyAlignment="1">
      <alignment horizontal="left" vertical="center"/>
    </xf>
    <xf numFmtId="41" fontId="18" fillId="0" borderId="37" xfId="1" applyFont="1" applyFill="1" applyBorder="1" applyAlignment="1">
      <alignment horizontal="center" vertical="center"/>
    </xf>
    <xf numFmtId="0" fontId="15" fillId="0" borderId="62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41" fontId="15" fillId="0" borderId="6" xfId="1" applyFont="1" applyFill="1" applyBorder="1" applyAlignment="1">
      <alignment horizontal="center" vertical="center"/>
    </xf>
    <xf numFmtId="41" fontId="15" fillId="0" borderId="50" xfId="1" applyFont="1" applyFill="1" applyBorder="1" applyAlignment="1">
      <alignment horizontal="center" vertical="center"/>
    </xf>
    <xf numFmtId="41" fontId="15" fillId="0" borderId="132" xfId="1" applyFont="1" applyFill="1" applyBorder="1" applyAlignment="1">
      <alignment horizontal="left" vertical="center"/>
    </xf>
    <xf numFmtId="0" fontId="15" fillId="0" borderId="127" xfId="0" applyFont="1" applyFill="1" applyBorder="1" applyAlignment="1">
      <alignment horizontal="center" vertical="center"/>
    </xf>
    <xf numFmtId="0" fontId="15" fillId="0" borderId="128" xfId="0" applyFont="1" applyBorder="1" applyAlignment="1">
      <alignment horizontal="left" vertical="center"/>
    </xf>
    <xf numFmtId="41" fontId="15" fillId="0" borderId="128" xfId="1" applyFont="1" applyFill="1" applyBorder="1" applyAlignment="1">
      <alignment horizontal="left" vertical="center"/>
    </xf>
    <xf numFmtId="41" fontId="18" fillId="0" borderId="128" xfId="1" applyFont="1" applyFill="1" applyBorder="1" applyAlignment="1">
      <alignment horizontal="center" vertical="center"/>
    </xf>
    <xf numFmtId="176" fontId="15" fillId="0" borderId="129" xfId="0" applyNumberFormat="1" applyFont="1" applyFill="1" applyBorder="1" applyAlignment="1">
      <alignment horizontal="center" vertical="center"/>
    </xf>
    <xf numFmtId="41" fontId="15" fillId="4" borderId="5" xfId="1" applyFont="1" applyFill="1" applyBorder="1" applyAlignment="1">
      <alignment horizontal="left" vertical="center"/>
    </xf>
    <xf numFmtId="41" fontId="0" fillId="6" borderId="0" xfId="1" applyFont="1" applyFill="1">
      <alignment vertical="center"/>
    </xf>
    <xf numFmtId="41" fontId="15" fillId="0" borderId="6" xfId="1" applyFont="1" applyFill="1" applyBorder="1" applyAlignment="1">
      <alignment horizontal="left" vertical="center"/>
    </xf>
    <xf numFmtId="41" fontId="18" fillId="0" borderId="6" xfId="1" applyFont="1" applyFill="1" applyBorder="1" applyAlignment="1">
      <alignment horizontal="center" vertical="center"/>
    </xf>
    <xf numFmtId="176" fontId="15" fillId="0" borderId="50" xfId="0" applyNumberFormat="1" applyFont="1" applyFill="1" applyBorder="1" applyAlignment="1">
      <alignment horizontal="center" vertical="center"/>
    </xf>
    <xf numFmtId="176" fontId="15" fillId="0" borderId="126" xfId="0" applyNumberFormat="1" applyFont="1" applyFill="1" applyBorder="1" applyAlignment="1">
      <alignment horizontal="center" vertical="center"/>
    </xf>
    <xf numFmtId="41" fontId="15" fillId="7" borderId="3" xfId="1" applyFont="1" applyFill="1" applyBorder="1" applyAlignment="1">
      <alignment horizontal="center" vertical="center"/>
    </xf>
    <xf numFmtId="41" fontId="18" fillId="7" borderId="5" xfId="1" applyFont="1" applyFill="1" applyBorder="1" applyAlignment="1">
      <alignment horizontal="left" vertical="center"/>
    </xf>
    <xf numFmtId="176" fontId="15" fillId="0" borderId="48" xfId="0" applyNumberFormat="1" applyFont="1" applyFill="1" applyBorder="1" applyAlignment="1">
      <alignment horizontal="center" vertical="center" wrapText="1"/>
    </xf>
    <xf numFmtId="0" fontId="15" fillId="0" borderId="37" xfId="0" applyFont="1" applyBorder="1" applyAlignment="1">
      <alignment horizontal="left" vertical="center"/>
    </xf>
    <xf numFmtId="176" fontId="15" fillId="0" borderId="60" xfId="0" quotePrefix="1" applyNumberFormat="1" applyFont="1" applyFill="1" applyBorder="1" applyAlignment="1">
      <alignment horizontal="center" vertical="center"/>
    </xf>
    <xf numFmtId="41" fontId="18" fillId="0" borderId="3" xfId="1" applyFont="1" applyFill="1" applyBorder="1" applyAlignment="1">
      <alignment horizontal="left" vertical="center"/>
    </xf>
    <xf numFmtId="176" fontId="15" fillId="0" borderId="44" xfId="0" applyNumberFormat="1" applyFont="1" applyFill="1" applyBorder="1" applyAlignment="1">
      <alignment horizontal="center" vertical="center"/>
    </xf>
    <xf numFmtId="176" fontId="15" fillId="0" borderId="48" xfId="0" quotePrefix="1" applyNumberFormat="1" applyFont="1" applyFill="1" applyBorder="1" applyAlignment="1">
      <alignment horizontal="center" vertical="center"/>
    </xf>
    <xf numFmtId="0" fontId="15" fillId="0" borderId="125" xfId="0" applyFont="1" applyFill="1" applyBorder="1" applyAlignment="1">
      <alignment horizontal="center" vertical="center"/>
    </xf>
    <xf numFmtId="41" fontId="15" fillId="0" borderId="125" xfId="1" applyFont="1" applyFill="1" applyBorder="1" applyAlignment="1">
      <alignment horizontal="center" vertical="center"/>
    </xf>
    <xf numFmtId="14" fontId="15" fillId="0" borderId="125" xfId="1" applyNumberFormat="1" applyFont="1" applyFill="1" applyBorder="1" applyAlignment="1">
      <alignment horizontal="center" vertical="center"/>
    </xf>
    <xf numFmtId="41" fontId="15" fillId="0" borderId="126" xfId="1" applyFont="1" applyFill="1" applyBorder="1" applyAlignment="1">
      <alignment horizontal="center" vertical="center"/>
    </xf>
    <xf numFmtId="176" fontId="15" fillId="0" borderId="65" xfId="0" quotePrefix="1" applyNumberFormat="1" applyFont="1" applyFill="1" applyBorder="1" applyAlignment="1">
      <alignment horizontal="center" vertical="center"/>
    </xf>
    <xf numFmtId="176" fontId="15" fillId="0" borderId="80" xfId="0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left" vertical="center" shrinkToFit="1"/>
    </xf>
    <xf numFmtId="0" fontId="15" fillId="0" borderId="5" xfId="0" applyFont="1" applyBorder="1" applyAlignment="1">
      <alignment horizontal="left" vertical="center" wrapText="1"/>
    </xf>
    <xf numFmtId="41" fontId="0" fillId="0" borderId="0" xfId="1" applyNumberFormat="1" applyFont="1">
      <alignment vertical="center"/>
    </xf>
    <xf numFmtId="41" fontId="0" fillId="0" borderId="0" xfId="1" applyNumberFormat="1" applyFont="1" applyFill="1">
      <alignment vertical="center"/>
    </xf>
    <xf numFmtId="0" fontId="15" fillId="0" borderId="6" xfId="0" applyFont="1" applyFill="1" applyBorder="1" applyAlignment="1">
      <alignment horizontal="left" vertical="center"/>
    </xf>
    <xf numFmtId="0" fontId="15" fillId="0" borderId="44" xfId="0" applyFont="1" applyFill="1" applyBorder="1" applyAlignment="1">
      <alignment horizontal="left" vertical="center"/>
    </xf>
    <xf numFmtId="176" fontId="15" fillId="0" borderId="3" xfId="0" applyNumberFormat="1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41" fontId="18" fillId="0" borderId="37" xfId="1" applyFont="1" applyFill="1" applyBorder="1" applyAlignment="1">
      <alignment horizontal="left" vertical="center"/>
    </xf>
    <xf numFmtId="0" fontId="15" fillId="0" borderId="90" xfId="0" applyFont="1" applyFill="1" applyBorder="1" applyAlignment="1">
      <alignment horizontal="center" vertical="center"/>
    </xf>
    <xf numFmtId="0" fontId="15" fillId="0" borderId="80" xfId="0" applyFont="1" applyFill="1" applyBorder="1" applyAlignment="1">
      <alignment horizontal="left" vertical="center"/>
    </xf>
    <xf numFmtId="41" fontId="18" fillId="0" borderId="80" xfId="1" applyFont="1" applyFill="1" applyBorder="1" applyAlignment="1">
      <alignment horizontal="left" vertical="center"/>
    </xf>
    <xf numFmtId="176" fontId="15" fillId="0" borderId="89" xfId="0" quotePrefix="1" applyNumberFormat="1" applyFont="1" applyFill="1" applyBorder="1" applyAlignment="1">
      <alignment horizontal="center" vertical="center"/>
    </xf>
    <xf numFmtId="0" fontId="15" fillId="0" borderId="128" xfId="0" applyFont="1" applyFill="1" applyBorder="1" applyAlignment="1">
      <alignment horizontal="left" vertical="center"/>
    </xf>
    <xf numFmtId="41" fontId="18" fillId="0" borderId="128" xfId="1" applyFont="1" applyFill="1" applyBorder="1" applyAlignment="1">
      <alignment horizontal="left" vertical="center"/>
    </xf>
    <xf numFmtId="176" fontId="15" fillId="0" borderId="128" xfId="0" applyNumberFormat="1" applyFont="1" applyFill="1" applyBorder="1" applyAlignment="1">
      <alignment horizontal="center" vertical="center"/>
    </xf>
    <xf numFmtId="0" fontId="15" fillId="0" borderId="44" xfId="0" applyFont="1" applyFill="1" applyBorder="1" applyAlignment="1">
      <alignment horizontal="center" vertical="center"/>
    </xf>
    <xf numFmtId="14" fontId="15" fillId="0" borderId="3" xfId="1" quotePrefix="1" applyNumberFormat="1" applyFont="1" applyFill="1" applyBorder="1" applyAlignment="1">
      <alignment horizontal="center" vertical="center"/>
    </xf>
    <xf numFmtId="41" fontId="15" fillId="0" borderId="3" xfId="1" quotePrefix="1" applyFont="1" applyFill="1" applyBorder="1" applyAlignment="1">
      <alignment horizontal="center" vertical="center"/>
    </xf>
    <xf numFmtId="0" fontId="15" fillId="0" borderId="51" xfId="0" applyFont="1" applyFill="1" applyBorder="1" applyAlignment="1">
      <alignment horizontal="center" vertical="center"/>
    </xf>
    <xf numFmtId="41" fontId="15" fillId="0" borderId="39" xfId="1" applyFont="1" applyFill="1" applyBorder="1" applyAlignment="1">
      <alignment horizontal="center" vertical="center"/>
    </xf>
    <xf numFmtId="41" fontId="15" fillId="0" borderId="52" xfId="1" applyFont="1" applyFill="1" applyBorder="1" applyAlignment="1">
      <alignment horizontal="center" vertical="center"/>
    </xf>
    <xf numFmtId="0" fontId="15" fillId="0" borderId="37" xfId="0" applyFont="1" applyBorder="1" applyAlignment="1">
      <alignment horizontal="center" vertical="center"/>
    </xf>
    <xf numFmtId="41" fontId="15" fillId="0" borderId="37" xfId="1" applyFont="1" applyBorder="1" applyAlignment="1">
      <alignment horizontal="center" vertical="center"/>
    </xf>
    <xf numFmtId="41" fontId="15" fillId="0" borderId="37" xfId="1" quotePrefix="1" applyFont="1" applyFill="1" applyBorder="1" applyAlignment="1">
      <alignment horizontal="center" vertical="center"/>
    </xf>
    <xf numFmtId="41" fontId="15" fillId="0" borderId="3" xfId="1" applyFont="1" applyFill="1" applyBorder="1" applyAlignment="1">
      <alignment horizontal="right" vertical="center"/>
    </xf>
    <xf numFmtId="41" fontId="15" fillId="0" borderId="37" xfId="1" applyFont="1" applyFill="1" applyBorder="1" applyAlignment="1">
      <alignment horizontal="right" vertical="center"/>
    </xf>
    <xf numFmtId="176" fontId="15" fillId="0" borderId="60" xfId="0" applyNumberFormat="1" applyFont="1" applyFill="1" applyBorder="1" applyAlignment="1">
      <alignment horizontal="center" vertical="center" wrapText="1"/>
    </xf>
    <xf numFmtId="14" fontId="15" fillId="0" borderId="60" xfId="1" applyNumberFormat="1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14" fontId="15" fillId="0" borderId="39" xfId="1" applyNumberFormat="1" applyFont="1" applyFill="1" applyBorder="1" applyAlignment="1">
      <alignment horizontal="center" vertical="center"/>
    </xf>
    <xf numFmtId="41" fontId="0" fillId="6" borderId="0" xfId="0" applyNumberFormat="1" applyFill="1">
      <alignment vertical="center"/>
    </xf>
    <xf numFmtId="0" fontId="15" fillId="0" borderId="6" xfId="0" applyFont="1" applyBorder="1" applyAlignment="1">
      <alignment horizontal="center" vertical="center"/>
    </xf>
    <xf numFmtId="0" fontId="15" fillId="0" borderId="39" xfId="0" applyFont="1" applyFill="1" applyBorder="1" applyAlignment="1">
      <alignment horizontal="left" vertical="center"/>
    </xf>
    <xf numFmtId="41" fontId="15" fillId="0" borderId="39" xfId="1" applyFont="1" applyFill="1" applyBorder="1" applyAlignment="1">
      <alignment horizontal="right" vertical="center"/>
    </xf>
    <xf numFmtId="41" fontId="18" fillId="0" borderId="39" xfId="1" applyFont="1" applyFill="1" applyBorder="1" applyAlignment="1">
      <alignment horizontal="center" vertical="center"/>
    </xf>
    <xf numFmtId="176" fontId="15" fillId="0" borderId="52" xfId="0" applyNumberFormat="1" applyFont="1" applyFill="1" applyBorder="1" applyAlignment="1">
      <alignment horizontal="center" vertical="center" wrapText="1"/>
    </xf>
    <xf numFmtId="176" fontId="15" fillId="0" borderId="6" xfId="0" applyNumberFormat="1" applyFont="1" applyFill="1" applyBorder="1" applyAlignment="1">
      <alignment horizontal="center" vertical="center"/>
    </xf>
    <xf numFmtId="41" fontId="15" fillId="0" borderId="80" xfId="1" applyFont="1" applyFill="1" applyBorder="1" applyAlignment="1">
      <alignment horizontal="left" vertical="center"/>
    </xf>
    <xf numFmtId="41" fontId="18" fillId="0" borderId="80" xfId="1" applyFont="1" applyFill="1" applyBorder="1" applyAlignment="1">
      <alignment horizontal="center" vertical="center"/>
    </xf>
    <xf numFmtId="176" fontId="15" fillId="0" borderId="89" xfId="0" applyNumberFormat="1" applyFont="1" applyBorder="1" applyAlignment="1">
      <alignment horizontal="center" vertical="center"/>
    </xf>
    <xf numFmtId="14" fontId="15" fillId="0" borderId="5" xfId="1" quotePrefix="1" applyNumberFormat="1" applyFont="1" applyFill="1" applyBorder="1" applyAlignment="1">
      <alignment horizontal="center" vertical="center"/>
    </xf>
    <xf numFmtId="14" fontId="15" fillId="0" borderId="48" xfId="1" applyNumberFormat="1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36" xfId="0" applyFont="1" applyFill="1" applyBorder="1" applyAlignment="1">
      <alignment horizontal="center" vertical="center"/>
    </xf>
    <xf numFmtId="0" fontId="15" fillId="0" borderId="136" xfId="0" applyFont="1" applyBorder="1" applyAlignment="1">
      <alignment horizontal="center" vertical="center"/>
    </xf>
    <xf numFmtId="41" fontId="15" fillId="0" borderId="136" xfId="1" applyFont="1" applyBorder="1" applyAlignment="1">
      <alignment horizontal="center" vertical="center"/>
    </xf>
    <xf numFmtId="41" fontId="15" fillId="0" borderId="136" xfId="1" quotePrefix="1" applyFont="1" applyFill="1" applyBorder="1" applyAlignment="1">
      <alignment horizontal="center" vertical="center"/>
    </xf>
    <xf numFmtId="14" fontId="15" fillId="0" borderId="136" xfId="1" applyNumberFormat="1" applyFont="1" applyFill="1" applyBorder="1" applyAlignment="1">
      <alignment horizontal="center" vertical="center"/>
    </xf>
    <xf numFmtId="41" fontId="15" fillId="0" borderId="136" xfId="1" applyFont="1" applyFill="1" applyBorder="1" applyAlignment="1">
      <alignment horizontal="center" vertical="center"/>
    </xf>
    <xf numFmtId="0" fontId="15" fillId="0" borderId="58" xfId="0" applyFont="1" applyFill="1" applyBorder="1" applyAlignment="1">
      <alignment horizontal="center" vertical="center"/>
    </xf>
    <xf numFmtId="41" fontId="15" fillId="0" borderId="56" xfId="1" applyFont="1" applyFill="1" applyBorder="1" applyAlignment="1">
      <alignment horizontal="center" vertical="center"/>
    </xf>
    <xf numFmtId="41" fontId="15" fillId="0" borderId="6" xfId="1" quotePrefix="1" applyFont="1" applyFill="1" applyBorder="1" applyAlignment="1">
      <alignment horizontal="center" vertical="center"/>
    </xf>
    <xf numFmtId="41" fontId="15" fillId="0" borderId="125" xfId="1" applyFont="1" applyFill="1" applyBorder="1" applyAlignment="1">
      <alignment horizontal="right" vertical="center"/>
    </xf>
    <xf numFmtId="176" fontId="15" fillId="0" borderId="80" xfId="0" applyNumberFormat="1" applyFont="1" applyBorder="1" applyAlignment="1">
      <alignment horizontal="center" vertical="center"/>
    </xf>
    <xf numFmtId="0" fontId="5" fillId="0" borderId="137" xfId="0" applyFont="1" applyFill="1" applyBorder="1" applyAlignment="1">
      <alignment horizontal="center" vertical="center"/>
    </xf>
    <xf numFmtId="41" fontId="5" fillId="0" borderId="138" xfId="1" applyFont="1" applyFill="1" applyBorder="1" applyAlignment="1">
      <alignment horizontal="center" vertical="center"/>
    </xf>
    <xf numFmtId="176" fontId="5" fillId="0" borderId="138" xfId="0" applyNumberFormat="1" applyFont="1" applyBorder="1" applyAlignment="1">
      <alignment horizontal="center" vertical="center"/>
    </xf>
    <xf numFmtId="0" fontId="5" fillId="0" borderId="139" xfId="0" applyFont="1" applyBorder="1" applyAlignment="1">
      <alignment horizontal="center" vertical="center"/>
    </xf>
    <xf numFmtId="0" fontId="5" fillId="0" borderId="140" xfId="0" applyFont="1" applyBorder="1" applyAlignment="1">
      <alignment horizontal="center" vertical="center"/>
    </xf>
    <xf numFmtId="176" fontId="5" fillId="0" borderId="141" xfId="0" applyNumberFormat="1" applyFont="1" applyBorder="1" applyAlignment="1">
      <alignment horizontal="center" vertical="center"/>
    </xf>
    <xf numFmtId="176" fontId="5" fillId="0" borderId="141" xfId="0" applyNumberFormat="1" applyFont="1" applyFill="1" applyBorder="1" applyAlignment="1">
      <alignment horizontal="center" vertical="center"/>
    </xf>
    <xf numFmtId="176" fontId="5" fillId="0" borderId="142" xfId="0" applyNumberFormat="1" applyFont="1" applyBorder="1" applyAlignment="1">
      <alignment horizontal="center" vertical="center"/>
    </xf>
    <xf numFmtId="41" fontId="5" fillId="0" borderId="143" xfId="1" applyFont="1" applyFill="1" applyBorder="1" applyAlignment="1">
      <alignment horizontal="center" vertical="center"/>
    </xf>
    <xf numFmtId="0" fontId="5" fillId="0" borderId="144" xfId="0" applyFont="1" applyBorder="1" applyAlignment="1">
      <alignment horizontal="center" vertical="center"/>
    </xf>
    <xf numFmtId="41" fontId="5" fillId="0" borderId="145" xfId="1" applyFont="1" applyFill="1" applyBorder="1" applyAlignment="1">
      <alignment horizontal="center" vertical="center"/>
    </xf>
    <xf numFmtId="41" fontId="5" fillId="0" borderId="146" xfId="1" applyFont="1" applyFill="1" applyBorder="1" applyAlignment="1">
      <alignment horizontal="center" vertical="center"/>
    </xf>
    <xf numFmtId="0" fontId="5" fillId="0" borderId="147" xfId="0" applyFont="1" applyBorder="1" applyAlignment="1">
      <alignment horizontal="center" vertical="center"/>
    </xf>
    <xf numFmtId="176" fontId="5" fillId="0" borderId="148" xfId="0" applyNumberFormat="1" applyFont="1" applyBorder="1" applyAlignment="1">
      <alignment horizontal="center" vertical="center"/>
    </xf>
    <xf numFmtId="176" fontId="5" fillId="0" borderId="149" xfId="0" applyNumberFormat="1" applyFont="1" applyBorder="1" applyAlignment="1">
      <alignment horizontal="center" vertical="center"/>
    </xf>
    <xf numFmtId="176" fontId="5" fillId="0" borderId="150" xfId="0" applyNumberFormat="1" applyFont="1" applyBorder="1" applyAlignment="1">
      <alignment horizontal="center" vertical="center"/>
    </xf>
    <xf numFmtId="176" fontId="4" fillId="0" borderId="151" xfId="0" applyNumberFormat="1" applyFont="1" applyBorder="1" applyAlignment="1">
      <alignment horizontal="center" vertical="center"/>
    </xf>
    <xf numFmtId="41" fontId="4" fillId="0" borderId="151" xfId="1" applyFont="1" applyBorder="1" applyAlignment="1">
      <alignment horizontal="center" vertical="center"/>
    </xf>
    <xf numFmtId="3" fontId="8" fillId="0" borderId="152" xfId="0" applyNumberFormat="1" applyFont="1" applyBorder="1" applyAlignment="1">
      <alignment horizontal="center" vertical="center"/>
    </xf>
    <xf numFmtId="3" fontId="8" fillId="0" borderId="153" xfId="0" applyNumberFormat="1" applyFont="1" applyBorder="1" applyAlignment="1">
      <alignment horizontal="center" vertical="center"/>
    </xf>
    <xf numFmtId="0" fontId="4" fillId="3" borderId="154" xfId="0" applyFont="1" applyFill="1" applyBorder="1" applyAlignment="1">
      <alignment horizontal="center" vertical="center"/>
    </xf>
    <xf numFmtId="0" fontId="4" fillId="3" borderId="158" xfId="0" applyFont="1" applyFill="1" applyBorder="1" applyAlignment="1">
      <alignment horizontal="center" vertical="center"/>
    </xf>
    <xf numFmtId="0" fontId="4" fillId="3" borderId="159" xfId="0" applyFont="1" applyFill="1" applyBorder="1" applyAlignment="1">
      <alignment horizontal="center" vertical="center"/>
    </xf>
    <xf numFmtId="0" fontId="5" fillId="0" borderId="160" xfId="0" applyFont="1" applyBorder="1" applyAlignment="1">
      <alignment horizontal="center" vertical="center"/>
    </xf>
    <xf numFmtId="41" fontId="5" fillId="0" borderId="143" xfId="1" applyFont="1" applyFill="1" applyBorder="1" applyAlignment="1">
      <alignment horizontal="center" vertical="center" wrapText="1"/>
    </xf>
    <xf numFmtId="176" fontId="5" fillId="0" borderId="141" xfId="0" applyNumberFormat="1" applyFont="1" applyBorder="1" applyAlignment="1">
      <alignment horizontal="center" vertical="center" wrapText="1"/>
    </xf>
    <xf numFmtId="3" fontId="13" fillId="0" borderId="0" xfId="0" applyNumberFormat="1" applyFont="1" applyBorder="1" applyAlignment="1">
      <alignment vertical="center" wrapText="1"/>
    </xf>
    <xf numFmtId="0" fontId="5" fillId="0" borderId="161" xfId="0" applyFont="1" applyBorder="1" applyAlignment="1">
      <alignment horizontal="center" vertical="center"/>
    </xf>
    <xf numFmtId="176" fontId="5" fillId="0" borderId="162" xfId="0" applyNumberFormat="1" applyFont="1" applyBorder="1" applyAlignment="1">
      <alignment horizontal="center" vertical="center"/>
    </xf>
    <xf numFmtId="0" fontId="4" fillId="0" borderId="163" xfId="0" applyFont="1" applyBorder="1" applyAlignment="1">
      <alignment vertical="center"/>
    </xf>
    <xf numFmtId="41" fontId="4" fillId="0" borderId="153" xfId="1" applyFont="1" applyBorder="1" applyAlignment="1">
      <alignment horizontal="center" vertical="center"/>
    </xf>
    <xf numFmtId="41" fontId="5" fillId="0" borderId="162" xfId="1" applyFont="1" applyFill="1" applyBorder="1" applyAlignment="1">
      <alignment horizontal="center" vertical="center"/>
    </xf>
    <xf numFmtId="41" fontId="4" fillId="0" borderId="152" xfId="1" applyFont="1" applyBorder="1" applyAlignment="1">
      <alignment horizontal="center" vertical="center"/>
    </xf>
    <xf numFmtId="0" fontId="5" fillId="0" borderId="86" xfId="0" applyFont="1" applyBorder="1" applyAlignment="1">
      <alignment horizontal="center" vertical="center"/>
    </xf>
    <xf numFmtId="0" fontId="4" fillId="0" borderId="164" xfId="0" applyFont="1" applyBorder="1" applyAlignment="1">
      <alignment vertical="center"/>
    </xf>
    <xf numFmtId="0" fontId="5" fillId="0" borderId="165" xfId="0" applyFont="1" applyBorder="1" applyAlignment="1">
      <alignment horizontal="center" vertical="center"/>
    </xf>
    <xf numFmtId="0" fontId="5" fillId="0" borderId="166" xfId="0" applyFont="1" applyBorder="1" applyAlignment="1">
      <alignment horizontal="center" vertical="center"/>
    </xf>
    <xf numFmtId="41" fontId="5" fillId="0" borderId="167" xfId="1" applyFont="1" applyFill="1" applyBorder="1" applyAlignment="1">
      <alignment horizontal="center" vertical="center"/>
    </xf>
    <xf numFmtId="41" fontId="5" fillId="0" borderId="168" xfId="1" applyFont="1" applyFill="1" applyBorder="1" applyAlignment="1">
      <alignment horizontal="center" vertical="center"/>
    </xf>
    <xf numFmtId="41" fontId="5" fillId="0" borderId="169" xfId="1" applyFont="1" applyFill="1" applyBorder="1" applyAlignment="1">
      <alignment horizontal="center" vertical="center"/>
    </xf>
    <xf numFmtId="41" fontId="5" fillId="0" borderId="150" xfId="1" applyFont="1" applyFill="1" applyBorder="1" applyAlignment="1">
      <alignment horizontal="center" vertical="center"/>
    </xf>
    <xf numFmtId="41" fontId="4" fillId="0" borderId="170" xfId="1" applyFont="1" applyBorder="1" applyAlignment="1">
      <alignment horizontal="center" vertical="center"/>
    </xf>
    <xf numFmtId="0" fontId="5" fillId="0" borderId="171" xfId="0" applyFont="1" applyFill="1" applyBorder="1" applyAlignment="1">
      <alignment horizontal="center" vertical="center"/>
    </xf>
    <xf numFmtId="0" fontId="5" fillId="0" borderId="172" xfId="0" applyFont="1" applyBorder="1" applyAlignment="1">
      <alignment horizontal="center" vertical="center"/>
    </xf>
    <xf numFmtId="0" fontId="5" fillId="0" borderId="173" xfId="0" applyFont="1" applyBorder="1" applyAlignment="1">
      <alignment horizontal="center" vertical="center"/>
    </xf>
    <xf numFmtId="41" fontId="4" fillId="0" borderId="174" xfId="1" applyFont="1" applyBorder="1" applyAlignment="1">
      <alignment horizontal="center" vertical="center"/>
    </xf>
    <xf numFmtId="0" fontId="15" fillId="0" borderId="5" xfId="1" applyNumberFormat="1" applyFont="1" applyFill="1" applyBorder="1" applyAlignment="1">
      <alignment horizontal="center" vertical="center"/>
    </xf>
    <xf numFmtId="0" fontId="15" fillId="0" borderId="5" xfId="1" quotePrefix="1" applyNumberFormat="1" applyFont="1" applyFill="1" applyBorder="1" applyAlignment="1">
      <alignment horizontal="center" vertical="center"/>
    </xf>
    <xf numFmtId="176" fontId="15" fillId="0" borderId="5" xfId="1" applyNumberFormat="1" applyFont="1" applyFill="1" applyBorder="1" applyAlignment="1">
      <alignment horizontal="center" vertical="center"/>
    </xf>
    <xf numFmtId="176" fontId="15" fillId="0" borderId="5" xfId="1" quotePrefix="1" applyNumberFormat="1" applyFont="1" applyFill="1" applyBorder="1" applyAlignment="1">
      <alignment horizontal="center" vertical="center"/>
    </xf>
    <xf numFmtId="0" fontId="18" fillId="0" borderId="5" xfId="1" applyNumberFormat="1" applyFont="1" applyFill="1" applyBorder="1" applyAlignment="1">
      <alignment horizontal="center" vertical="center"/>
    </xf>
    <xf numFmtId="176" fontId="18" fillId="0" borderId="5" xfId="1" applyNumberFormat="1" applyFont="1" applyFill="1" applyBorder="1" applyAlignment="1">
      <alignment horizontal="center" vertical="center"/>
    </xf>
    <xf numFmtId="41" fontId="15" fillId="6" borderId="5" xfId="1" applyFont="1" applyFill="1" applyBorder="1" applyAlignment="1">
      <alignment horizontal="left" vertical="center"/>
    </xf>
    <xf numFmtId="176" fontId="15" fillId="0" borderId="125" xfId="1" applyNumberFormat="1" applyFont="1" applyFill="1" applyBorder="1" applyAlignment="1">
      <alignment horizontal="center" vertical="center"/>
    </xf>
    <xf numFmtId="0" fontId="15" fillId="0" borderId="70" xfId="0" applyFont="1" applyFill="1" applyBorder="1" applyAlignment="1">
      <alignment horizontal="center" vertical="center"/>
    </xf>
    <xf numFmtId="0" fontId="15" fillId="0" borderId="175" xfId="0" applyFont="1" applyFill="1" applyBorder="1" applyAlignment="1">
      <alignment horizontal="center" vertical="center"/>
    </xf>
    <xf numFmtId="0" fontId="15" fillId="0" borderId="70" xfId="0" applyFont="1" applyBorder="1" applyAlignment="1">
      <alignment horizontal="center" vertical="center"/>
    </xf>
    <xf numFmtId="12" fontId="15" fillId="0" borderId="3" xfId="1" applyNumberFormat="1" applyFont="1" applyFill="1" applyBorder="1" applyAlignment="1">
      <alignment horizontal="right" vertical="center"/>
    </xf>
    <xf numFmtId="41" fontId="15" fillId="0" borderId="6" xfId="1" applyFont="1" applyFill="1" applyBorder="1" applyAlignment="1">
      <alignment horizontal="right" vertical="center"/>
    </xf>
    <xf numFmtId="0" fontId="15" fillId="6" borderId="5" xfId="0" applyFont="1" applyFill="1" applyBorder="1" applyAlignment="1">
      <alignment horizontal="center" vertical="center"/>
    </xf>
    <xf numFmtId="0" fontId="15" fillId="6" borderId="37" xfId="0" applyFont="1" applyFill="1" applyBorder="1" applyAlignment="1">
      <alignment horizontal="center" vertical="center"/>
    </xf>
    <xf numFmtId="0" fontId="15" fillId="0" borderId="72" xfId="0" applyFont="1" applyFill="1" applyBorder="1" applyAlignment="1">
      <alignment horizontal="center" vertical="center"/>
    </xf>
    <xf numFmtId="176" fontId="15" fillId="0" borderId="3" xfId="1" applyNumberFormat="1" applyFont="1" applyFill="1" applyBorder="1" applyAlignment="1">
      <alignment horizontal="center" vertical="center"/>
    </xf>
    <xf numFmtId="0" fontId="18" fillId="0" borderId="3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16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2" fillId="3" borderId="116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2" fillId="3" borderId="116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2" fillId="3" borderId="116" xfId="0" applyFont="1" applyFill="1" applyBorder="1" applyAlignment="1">
      <alignment horizontal="center" vertical="center"/>
    </xf>
    <xf numFmtId="176" fontId="15" fillId="0" borderId="3" xfId="1" quotePrefix="1" applyNumberFormat="1" applyFont="1" applyFill="1" applyBorder="1" applyAlignment="1">
      <alignment horizontal="center" vertical="center"/>
    </xf>
    <xf numFmtId="0" fontId="15" fillId="0" borderId="172" xfId="0" applyFont="1" applyFill="1" applyBorder="1" applyAlignment="1">
      <alignment horizontal="center" vertical="center"/>
    </xf>
    <xf numFmtId="176" fontId="15" fillId="0" borderId="37" xfId="1" applyNumberFormat="1" applyFont="1" applyFill="1" applyBorder="1" applyAlignment="1">
      <alignment horizontal="center" vertical="center"/>
    </xf>
    <xf numFmtId="41" fontId="18" fillId="10" borderId="5" xfId="1" applyFont="1" applyFill="1" applyBorder="1" applyAlignment="1">
      <alignment horizontal="left" vertical="center"/>
    </xf>
    <xf numFmtId="0" fontId="18" fillId="0" borderId="37" xfId="1" applyNumberFormat="1" applyFont="1" applyFill="1" applyBorder="1" applyAlignment="1">
      <alignment horizontal="center" vertical="center"/>
    </xf>
    <xf numFmtId="0" fontId="15" fillId="0" borderId="37" xfId="0" applyFont="1" applyFill="1" applyBorder="1" applyAlignment="1">
      <alignment horizontal="left" vertical="center" shrinkToFit="1"/>
    </xf>
    <xf numFmtId="41" fontId="18" fillId="6" borderId="5" xfId="1" applyFont="1" applyFill="1" applyBorder="1" applyAlignment="1">
      <alignment horizontal="left" vertical="center"/>
    </xf>
    <xf numFmtId="14" fontId="0" fillId="0" borderId="0" xfId="0" applyNumberForma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41" fontId="18" fillId="0" borderId="48" xfId="1" applyFont="1" applyFill="1" applyBorder="1" applyAlignment="1">
      <alignment horizontal="center" vertical="center"/>
    </xf>
    <xf numFmtId="41" fontId="15" fillId="0" borderId="5" xfId="1" applyFont="1" applyFill="1" applyBorder="1" applyAlignment="1">
      <alignment vertical="center"/>
    </xf>
    <xf numFmtId="0" fontId="15" fillId="0" borderId="3" xfId="1" quotePrefix="1" applyNumberFormat="1" applyFont="1" applyFill="1" applyBorder="1" applyAlignment="1">
      <alignment horizontal="center" vertical="center"/>
    </xf>
    <xf numFmtId="176" fontId="15" fillId="0" borderId="37" xfId="1" quotePrefix="1" applyNumberFormat="1" applyFont="1" applyFill="1" applyBorder="1" applyAlignment="1">
      <alignment horizontal="center" vertical="center"/>
    </xf>
    <xf numFmtId="41" fontId="15" fillId="0" borderId="5" xfId="1" quotePrefix="1" applyFont="1" applyFill="1" applyBorder="1" applyAlignment="1">
      <alignment horizontal="center" vertical="center"/>
    </xf>
    <xf numFmtId="0" fontId="15" fillId="0" borderId="80" xfId="0" applyFont="1" applyFill="1" applyBorder="1" applyAlignment="1">
      <alignment horizontal="center" vertical="center"/>
    </xf>
    <xf numFmtId="41" fontId="15" fillId="0" borderId="80" xfId="1" applyFont="1" applyFill="1" applyBorder="1" applyAlignment="1">
      <alignment horizontal="center" vertical="center"/>
    </xf>
    <xf numFmtId="14" fontId="15" fillId="0" borderId="80" xfId="1" applyNumberFormat="1" applyFont="1" applyFill="1" applyBorder="1" applyAlignment="1">
      <alignment horizontal="center" vertical="center"/>
    </xf>
    <xf numFmtId="41" fontId="15" fillId="0" borderId="89" xfId="1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left" vertical="center" shrinkToFit="1"/>
    </xf>
    <xf numFmtId="0" fontId="15" fillId="0" borderId="128" xfId="0" applyFont="1" applyFill="1" applyBorder="1" applyAlignment="1">
      <alignment horizontal="center" vertical="center"/>
    </xf>
    <xf numFmtId="41" fontId="15" fillId="0" borderId="128" xfId="1" applyFont="1" applyFill="1" applyBorder="1" applyAlignment="1">
      <alignment horizontal="center" vertical="center"/>
    </xf>
    <xf numFmtId="0" fontId="15" fillId="0" borderId="128" xfId="1" applyNumberFormat="1" applyFont="1" applyFill="1" applyBorder="1" applyAlignment="1">
      <alignment horizontal="center" vertical="center"/>
    </xf>
    <xf numFmtId="41" fontId="15" fillId="0" borderId="129" xfId="1" applyFont="1" applyFill="1" applyBorder="1" applyAlignment="1">
      <alignment horizontal="center" vertical="center"/>
    </xf>
    <xf numFmtId="0" fontId="12" fillId="0" borderId="130" xfId="0" applyFont="1" applyBorder="1" applyAlignment="1">
      <alignment vertical="center"/>
    </xf>
    <xf numFmtId="176" fontId="12" fillId="0" borderId="132" xfId="0" applyNumberFormat="1" applyFont="1" applyBorder="1" applyAlignment="1">
      <alignment horizontal="center" vertical="center"/>
    </xf>
    <xf numFmtId="41" fontId="12" fillId="0" borderId="176" xfId="1" applyFont="1" applyBorder="1" applyAlignment="1">
      <alignment horizontal="center" vertical="center"/>
    </xf>
    <xf numFmtId="0" fontId="12" fillId="3" borderId="116" xfId="0" applyFont="1" applyFill="1" applyBorder="1" applyAlignment="1">
      <alignment horizontal="center" vertical="center"/>
    </xf>
    <xf numFmtId="0" fontId="15" fillId="0" borderId="177" xfId="0" applyFont="1" applyFill="1" applyBorder="1" applyAlignment="1">
      <alignment horizontal="center" vertical="center"/>
    </xf>
    <xf numFmtId="176" fontId="15" fillId="0" borderId="44" xfId="1" quotePrefix="1" applyNumberFormat="1" applyFont="1" applyFill="1" applyBorder="1" applyAlignment="1">
      <alignment horizontal="center" vertical="center"/>
    </xf>
    <xf numFmtId="41" fontId="15" fillId="0" borderId="99" xfId="1" applyFont="1" applyFill="1" applyBorder="1" applyAlignment="1">
      <alignment horizontal="center" vertical="center"/>
    </xf>
    <xf numFmtId="41" fontId="15" fillId="0" borderId="44" xfId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left" vertical="center" shrinkToFit="1"/>
    </xf>
    <xf numFmtId="0" fontId="15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horizontal="center" vertical="center"/>
    </xf>
    <xf numFmtId="0" fontId="15" fillId="0" borderId="47" xfId="0" applyFont="1" applyBorder="1" applyAlignment="1">
      <alignment horizontal="center" vertical="center"/>
    </xf>
    <xf numFmtId="176" fontId="15" fillId="0" borderId="125" xfId="1" quotePrefix="1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2" fillId="3" borderId="116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41" fontId="18" fillId="0" borderId="129" xfId="1" applyFont="1" applyFill="1" applyBorder="1" applyAlignment="1">
      <alignment horizontal="center" vertical="center"/>
    </xf>
    <xf numFmtId="176" fontId="15" fillId="0" borderId="65" xfId="0" applyNumberFormat="1" applyFont="1" applyBorder="1" applyAlignment="1">
      <alignment horizontal="center" vertical="center" shrinkToFit="1"/>
    </xf>
    <xf numFmtId="41" fontId="18" fillId="0" borderId="60" xfId="1" applyFont="1" applyFill="1" applyBorder="1" applyAlignment="1">
      <alignment horizontal="center" vertical="center"/>
    </xf>
    <xf numFmtId="176" fontId="15" fillId="0" borderId="61" xfId="1" quotePrefix="1" applyNumberFormat="1" applyFont="1" applyFill="1" applyBorder="1" applyAlignment="1">
      <alignment horizontal="center" vertical="center"/>
    </xf>
    <xf numFmtId="41" fontId="15" fillId="0" borderId="66" xfId="1" applyFont="1" applyFill="1" applyBorder="1" applyAlignment="1">
      <alignment horizontal="center" vertical="center"/>
    </xf>
    <xf numFmtId="41" fontId="18" fillId="0" borderId="50" xfId="1" applyFont="1" applyFill="1" applyBorder="1" applyAlignment="1">
      <alignment horizontal="center" vertical="center"/>
    </xf>
    <xf numFmtId="41" fontId="12" fillId="0" borderId="134" xfId="1" applyFont="1" applyBorder="1" applyAlignment="1">
      <alignment horizontal="center" vertical="center"/>
    </xf>
    <xf numFmtId="0" fontId="22" fillId="0" borderId="5" xfId="1" quotePrefix="1" applyNumberFormat="1" applyFont="1" applyFill="1" applyBorder="1" applyAlignment="1">
      <alignment horizontal="center" vertical="center"/>
    </xf>
    <xf numFmtId="176" fontId="15" fillId="0" borderId="48" xfId="0" applyNumberFormat="1" applyFont="1" applyFill="1" applyBorder="1" applyAlignment="1">
      <alignment horizontal="center" vertical="center" shrinkToFit="1"/>
    </xf>
    <xf numFmtId="176" fontId="15" fillId="0" borderId="48" xfId="1" quotePrefix="1" applyNumberFormat="1" applyFont="1" applyFill="1" applyBorder="1" applyAlignment="1">
      <alignment horizontal="center" vertical="center"/>
    </xf>
    <xf numFmtId="176" fontId="15" fillId="0" borderId="60" xfId="1" quotePrefix="1" applyNumberFormat="1" applyFont="1" applyFill="1" applyBorder="1" applyAlignment="1">
      <alignment horizontal="center" vertical="center"/>
    </xf>
    <xf numFmtId="0" fontId="15" fillId="11" borderId="5" xfId="0" applyFont="1" applyFill="1" applyBorder="1" applyAlignment="1">
      <alignment horizontal="center" vertical="center"/>
    </xf>
    <xf numFmtId="41" fontId="15" fillId="11" borderId="5" xfId="1" applyFont="1" applyFill="1" applyBorder="1" applyAlignment="1">
      <alignment horizontal="center" vertical="center"/>
    </xf>
    <xf numFmtId="0" fontId="15" fillId="11" borderId="5" xfId="1" quotePrefix="1" applyNumberFormat="1" applyFont="1" applyFill="1" applyBorder="1" applyAlignment="1">
      <alignment horizontal="center" vertical="center"/>
    </xf>
    <xf numFmtId="41" fontId="15" fillId="0" borderId="3" xfId="1" applyFont="1" applyFill="1" applyBorder="1" applyAlignment="1">
      <alignment vertical="center"/>
    </xf>
    <xf numFmtId="0" fontId="15" fillId="0" borderId="5" xfId="0" applyFont="1" applyFill="1" applyBorder="1" applyAlignment="1">
      <alignment horizontal="center" vertical="center" shrinkToFit="1"/>
    </xf>
    <xf numFmtId="176" fontId="15" fillId="0" borderId="39" xfId="1" quotePrefix="1" applyNumberFormat="1" applyFont="1" applyFill="1" applyBorder="1" applyAlignment="1">
      <alignment horizontal="center" vertical="center"/>
    </xf>
    <xf numFmtId="41" fontId="0" fillId="0" borderId="0" xfId="1" applyFont="1" applyFill="1" applyAlignment="1">
      <alignment horizontal="center" vertical="center"/>
    </xf>
    <xf numFmtId="41" fontId="0" fillId="0" borderId="0" xfId="1" applyFont="1" applyFill="1" applyAlignment="1">
      <alignment horizontal="right" vertical="center"/>
    </xf>
    <xf numFmtId="0" fontId="5" fillId="0" borderId="0" xfId="0" applyFont="1" applyAlignment="1">
      <alignment vertical="center"/>
    </xf>
    <xf numFmtId="0" fontId="15" fillId="0" borderId="0" xfId="0" applyFont="1" applyBorder="1" applyAlignment="1">
      <alignment horizontal="left" vertical="center"/>
    </xf>
    <xf numFmtId="0" fontId="15" fillId="0" borderId="37" xfId="0" applyFont="1" applyFill="1" applyBorder="1" applyAlignment="1">
      <alignment horizontal="center" vertical="center" shrinkToFit="1"/>
    </xf>
    <xf numFmtId="41" fontId="15" fillId="0" borderId="37" xfId="1" applyFont="1" applyFill="1" applyBorder="1" applyAlignment="1">
      <alignment vertical="center"/>
    </xf>
    <xf numFmtId="0" fontId="15" fillId="0" borderId="61" xfId="0" applyFont="1" applyFill="1" applyBorder="1" applyAlignment="1">
      <alignment horizontal="center" vertical="center"/>
    </xf>
    <xf numFmtId="41" fontId="15" fillId="0" borderId="61" xfId="1" applyFont="1" applyFill="1" applyBorder="1" applyAlignment="1">
      <alignment vertical="center"/>
    </xf>
    <xf numFmtId="41" fontId="15" fillId="0" borderId="44" xfId="1" applyFont="1" applyFill="1" applyBorder="1" applyAlignment="1">
      <alignment horizontal="left" vertical="center"/>
    </xf>
    <xf numFmtId="41" fontId="18" fillId="0" borderId="65" xfId="1" applyFont="1" applyFill="1" applyBorder="1" applyAlignment="1">
      <alignment horizontal="center" vertical="center"/>
    </xf>
    <xf numFmtId="0" fontId="15" fillId="6" borderId="5" xfId="0" applyFont="1" applyFill="1" applyBorder="1" applyAlignment="1">
      <alignment horizontal="left" vertical="center"/>
    </xf>
    <xf numFmtId="0" fontId="18" fillId="6" borderId="5" xfId="1" applyNumberFormat="1" applyFont="1" applyFill="1" applyBorder="1" applyAlignment="1">
      <alignment horizontal="center" vertical="center"/>
    </xf>
    <xf numFmtId="41" fontId="15" fillId="6" borderId="6" xfId="1" applyFont="1" applyFill="1" applyBorder="1" applyAlignment="1">
      <alignment horizontal="right" vertical="center"/>
    </xf>
    <xf numFmtId="41" fontId="15" fillId="6" borderId="5" xfId="1" applyFont="1" applyFill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2" fillId="3" borderId="116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18" fillId="0" borderId="48" xfId="1" applyNumberFormat="1" applyFont="1" applyFill="1" applyBorder="1" applyAlignment="1">
      <alignment horizontal="center" vertical="center"/>
    </xf>
    <xf numFmtId="0" fontId="12" fillId="3" borderId="176" xfId="0" applyFont="1" applyFill="1" applyBorder="1" applyAlignment="1">
      <alignment horizontal="center" vertical="center"/>
    </xf>
    <xf numFmtId="176" fontId="18" fillId="0" borderId="3" xfId="1" applyNumberFormat="1" applyFont="1" applyFill="1" applyBorder="1" applyAlignment="1">
      <alignment horizontal="center" vertical="center"/>
    </xf>
    <xf numFmtId="41" fontId="0" fillId="6" borderId="0" xfId="1" applyNumberFormat="1" applyFont="1" applyFill="1">
      <alignment vertical="center"/>
    </xf>
    <xf numFmtId="0" fontId="0" fillId="6" borderId="0" xfId="0" applyFill="1" applyAlignment="1">
      <alignment horizontal="center" vertical="center"/>
    </xf>
    <xf numFmtId="0" fontId="12" fillId="3" borderId="47" xfId="0" applyFont="1" applyFill="1" applyBorder="1" applyAlignment="1">
      <alignment horizontal="center" vertical="center"/>
    </xf>
    <xf numFmtId="41" fontId="15" fillId="0" borderId="55" xfId="1" applyFont="1" applyFill="1" applyBorder="1" applyAlignment="1">
      <alignment horizontal="center" vertical="center"/>
    </xf>
    <xf numFmtId="41" fontId="15" fillId="0" borderId="57" xfId="1" applyFont="1" applyFill="1" applyBorder="1" applyAlignment="1">
      <alignment horizontal="center" vertical="center"/>
    </xf>
    <xf numFmtId="176" fontId="15" fillId="0" borderId="65" xfId="1" quotePrefix="1" applyNumberFormat="1" applyFont="1" applyFill="1" applyBorder="1" applyAlignment="1">
      <alignment horizontal="center" vertical="center"/>
    </xf>
    <xf numFmtId="41" fontId="15" fillId="0" borderId="48" xfId="1" quotePrefix="1" applyFont="1" applyFill="1" applyBorder="1" applyAlignment="1">
      <alignment horizontal="center" vertical="center"/>
    </xf>
    <xf numFmtId="176" fontId="15" fillId="0" borderId="48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2" fillId="3" borderId="95" xfId="0" applyFont="1" applyFill="1" applyBorder="1" applyAlignment="1">
      <alignment horizontal="center" vertical="center"/>
    </xf>
    <xf numFmtId="0" fontId="12" fillId="3" borderId="116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12" fillId="3" borderId="95" xfId="0" applyFont="1" applyFill="1" applyBorder="1" applyAlignment="1">
      <alignment horizontal="center" vertical="center"/>
    </xf>
    <xf numFmtId="0" fontId="12" fillId="3" borderId="116" xfId="0" applyFont="1" applyFill="1" applyBorder="1" applyAlignment="1">
      <alignment horizontal="center" vertical="center"/>
    </xf>
    <xf numFmtId="0" fontId="27" fillId="0" borderId="5" xfId="1" applyNumberFormat="1" applyFont="1" applyFill="1" applyBorder="1" applyAlignment="1">
      <alignment horizontal="center" vertical="center"/>
    </xf>
    <xf numFmtId="0" fontId="12" fillId="0" borderId="47" xfId="0" applyFont="1" applyFill="1" applyBorder="1" applyAlignment="1">
      <alignment horizontal="center" vertical="center"/>
    </xf>
    <xf numFmtId="0" fontId="12" fillId="3" borderId="95" xfId="0" applyFont="1" applyFill="1" applyBorder="1" applyAlignment="1">
      <alignment horizontal="center" vertical="center"/>
    </xf>
    <xf numFmtId="14" fontId="15" fillId="0" borderId="6" xfId="1" applyNumberFormat="1" applyFont="1" applyFill="1" applyBorder="1" applyAlignment="1">
      <alignment horizontal="center" vertical="center"/>
    </xf>
    <xf numFmtId="176" fontId="18" fillId="0" borderId="48" xfId="1" applyNumberFormat="1" applyFont="1" applyFill="1" applyBorder="1" applyAlignment="1">
      <alignment horizontal="center" vertical="center"/>
    </xf>
    <xf numFmtId="0" fontId="27" fillId="0" borderId="48" xfId="1" applyNumberFormat="1" applyFont="1" applyFill="1" applyBorder="1" applyAlignment="1">
      <alignment horizontal="center" vertical="center"/>
    </xf>
    <xf numFmtId="0" fontId="18" fillId="0" borderId="50" xfId="1" applyNumberFormat="1" applyFont="1" applyFill="1" applyBorder="1" applyAlignment="1">
      <alignment horizontal="center" vertical="center"/>
    </xf>
    <xf numFmtId="3" fontId="17" fillId="0" borderId="176" xfId="0" applyNumberFormat="1" applyFont="1" applyBorder="1" applyAlignment="1">
      <alignment horizontal="center" vertical="center"/>
    </xf>
    <xf numFmtId="0" fontId="12" fillId="3" borderId="48" xfId="0" applyFont="1" applyFill="1" applyBorder="1" applyAlignment="1">
      <alignment horizontal="center" vertical="center"/>
    </xf>
    <xf numFmtId="0" fontId="12" fillId="3" borderId="129" xfId="0" applyFont="1" applyFill="1" applyBorder="1" applyAlignment="1">
      <alignment horizontal="center" vertical="center"/>
    </xf>
    <xf numFmtId="0" fontId="12" fillId="3" borderId="104" xfId="0" applyFont="1" applyFill="1" applyBorder="1" applyAlignment="1">
      <alignment horizontal="center" vertical="center"/>
    </xf>
    <xf numFmtId="14" fontId="15" fillId="0" borderId="24" xfId="1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41" fontId="12" fillId="0" borderId="22" xfId="0" applyNumberFormat="1" applyFont="1" applyBorder="1" applyAlignment="1">
      <alignment horizontal="center" vertical="center"/>
    </xf>
    <xf numFmtId="41" fontId="12" fillId="0" borderId="25" xfId="0" applyNumberFormat="1" applyFont="1" applyBorder="1" applyAlignment="1">
      <alignment horizontal="center" vertical="center"/>
    </xf>
    <xf numFmtId="41" fontId="12" fillId="0" borderId="35" xfId="0" applyNumberFormat="1" applyFont="1" applyBorder="1" applyAlignment="1">
      <alignment horizontal="center" vertical="center"/>
    </xf>
    <xf numFmtId="41" fontId="12" fillId="0" borderId="23" xfId="0" applyNumberFormat="1" applyFont="1" applyBorder="1" applyAlignment="1">
      <alignment horizontal="center" vertical="center"/>
    </xf>
    <xf numFmtId="41" fontId="12" fillId="0" borderId="26" xfId="0" applyNumberFormat="1" applyFont="1" applyBorder="1" applyAlignment="1">
      <alignment horizontal="center" vertical="center"/>
    </xf>
    <xf numFmtId="41" fontId="12" fillId="0" borderId="36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179" fontId="4" fillId="3" borderId="11" xfId="0" applyNumberFormat="1" applyFont="1" applyFill="1" applyBorder="1" applyAlignment="1">
      <alignment horizontal="center" vertical="center"/>
    </xf>
    <xf numFmtId="179" fontId="4" fillId="3" borderId="12" xfId="0" applyNumberFormat="1" applyFont="1" applyFill="1" applyBorder="1" applyAlignment="1">
      <alignment horizontal="center" vertical="center"/>
    </xf>
    <xf numFmtId="41" fontId="12" fillId="0" borderId="13" xfId="1" applyFont="1" applyBorder="1" applyAlignment="1">
      <alignment horizontal="right" vertical="center"/>
    </xf>
    <xf numFmtId="41" fontId="12" fillId="0" borderId="14" xfId="1" applyFont="1" applyBorder="1" applyAlignment="1">
      <alignment horizontal="right" vertical="center"/>
    </xf>
    <xf numFmtId="41" fontId="12" fillId="0" borderId="15" xfId="1" applyFont="1" applyBorder="1" applyAlignment="1">
      <alignment horizontal="right" vertical="center"/>
    </xf>
    <xf numFmtId="41" fontId="12" fillId="0" borderId="16" xfId="1" applyFont="1" applyBorder="1" applyAlignment="1">
      <alignment horizontal="right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178" fontId="12" fillId="4" borderId="41" xfId="2" applyNumberFormat="1" applyFont="1" applyFill="1" applyBorder="1" applyAlignment="1">
      <alignment horizontal="right" vertical="center"/>
    </xf>
    <xf numFmtId="178" fontId="12" fillId="4" borderId="42" xfId="2" applyNumberFormat="1" applyFont="1" applyFill="1" applyBorder="1" applyAlignment="1">
      <alignment horizontal="right" vertical="center"/>
    </xf>
    <xf numFmtId="178" fontId="12" fillId="4" borderId="8" xfId="2" applyNumberFormat="1" applyFont="1" applyFill="1" applyBorder="1" applyAlignment="1">
      <alignment horizontal="right" vertical="center"/>
    </xf>
    <xf numFmtId="178" fontId="12" fillId="4" borderId="43" xfId="2" applyNumberFormat="1" applyFont="1" applyFill="1" applyBorder="1" applyAlignment="1">
      <alignment horizontal="right" vertical="center"/>
    </xf>
    <xf numFmtId="0" fontId="4" fillId="3" borderId="27" xfId="0" applyFont="1" applyFill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/>
    </xf>
    <xf numFmtId="0" fontId="4" fillId="3" borderId="29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41" fontId="12" fillId="0" borderId="22" xfId="1" applyFont="1" applyFill="1" applyBorder="1" applyAlignment="1">
      <alignment horizontal="center" vertical="center"/>
    </xf>
    <xf numFmtId="41" fontId="12" fillId="0" borderId="35" xfId="1" applyFont="1" applyFill="1" applyBorder="1" applyAlignment="1">
      <alignment horizontal="center" vertical="center"/>
    </xf>
    <xf numFmtId="41" fontId="12" fillId="0" borderId="23" xfId="1" applyFont="1" applyFill="1" applyBorder="1" applyAlignment="1">
      <alignment horizontal="center" vertical="center"/>
    </xf>
    <xf numFmtId="41" fontId="12" fillId="0" borderId="36" xfId="1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55" xfId="0" applyFont="1" applyFill="1" applyBorder="1" applyAlignment="1">
      <alignment horizontal="center" vertical="center"/>
    </xf>
    <xf numFmtId="0" fontId="4" fillId="3" borderId="156" xfId="0" applyFont="1" applyFill="1" applyBorder="1" applyAlignment="1">
      <alignment horizontal="center" vertical="center"/>
    </xf>
    <xf numFmtId="0" fontId="4" fillId="3" borderId="157" xfId="0" applyFont="1" applyFill="1" applyBorder="1" applyAlignment="1">
      <alignment horizontal="center" vertical="center"/>
    </xf>
    <xf numFmtId="0" fontId="4" fillId="3" borderId="93" xfId="0" applyFont="1" applyFill="1" applyBorder="1" applyAlignment="1">
      <alignment horizontal="center" vertical="center"/>
    </xf>
    <xf numFmtId="0" fontId="4" fillId="3" borderId="94" xfId="0" applyFont="1" applyFill="1" applyBorder="1" applyAlignment="1">
      <alignment horizontal="center" vertical="center"/>
    </xf>
    <xf numFmtId="0" fontId="4" fillId="3" borderId="95" xfId="0" applyFont="1" applyFill="1" applyBorder="1" applyAlignment="1">
      <alignment horizontal="center" vertical="center"/>
    </xf>
    <xf numFmtId="0" fontId="4" fillId="3" borderId="114" xfId="0" applyFont="1" applyFill="1" applyBorder="1" applyAlignment="1">
      <alignment horizontal="center" vertical="center"/>
    </xf>
    <xf numFmtId="0" fontId="4" fillId="3" borderId="115" xfId="0" applyFont="1" applyFill="1" applyBorder="1" applyAlignment="1">
      <alignment horizontal="center" vertical="center"/>
    </xf>
    <xf numFmtId="0" fontId="4" fillId="3" borderId="116" xfId="0" applyFont="1" applyFill="1" applyBorder="1" applyAlignment="1">
      <alignment horizontal="center" vertical="center"/>
    </xf>
    <xf numFmtId="0" fontId="4" fillId="0" borderId="73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2" fillId="3" borderId="93" xfId="0" applyFont="1" applyFill="1" applyBorder="1" applyAlignment="1">
      <alignment horizontal="center" vertical="center"/>
    </xf>
    <xf numFmtId="0" fontId="12" fillId="3" borderId="94" xfId="0" applyFont="1" applyFill="1" applyBorder="1" applyAlignment="1">
      <alignment horizontal="center" vertical="center"/>
    </xf>
    <xf numFmtId="0" fontId="12" fillId="3" borderId="95" xfId="0" applyFont="1" applyFill="1" applyBorder="1" applyAlignment="1">
      <alignment horizontal="center" vertical="center"/>
    </xf>
    <xf numFmtId="0" fontId="12" fillId="3" borderId="114" xfId="0" applyFont="1" applyFill="1" applyBorder="1" applyAlignment="1">
      <alignment horizontal="center" vertical="center"/>
    </xf>
    <xf numFmtId="0" fontId="12" fillId="3" borderId="115" xfId="0" applyFont="1" applyFill="1" applyBorder="1" applyAlignment="1">
      <alignment horizontal="center" vertical="center"/>
    </xf>
    <xf numFmtId="0" fontId="12" fillId="3" borderId="116" xfId="0" applyFont="1" applyFill="1" applyBorder="1" applyAlignment="1">
      <alignment horizontal="center" vertical="center"/>
    </xf>
    <xf numFmtId="0" fontId="12" fillId="0" borderId="73" xfId="0" applyFont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13" fontId="15" fillId="0" borderId="5" xfId="1" applyNumberFormat="1" applyFont="1" applyFill="1" applyBorder="1" applyAlignment="1">
      <alignment horizontal="left" vertical="center"/>
    </xf>
  </cellXfs>
  <cellStyles count="3">
    <cellStyle name="메모" xfId="2" builtinId="10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microsoft.com/office/2017/10/relationships/person" Target="persons/person.xml"/><Relationship Id="rId30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김소현" id="{70BEB912-B474-47A1-8803-8816A28D4C41}" userId="S::kimso@ucomp.co.kr::e811b8ed-2fdb-44bd-ab20-0df69af76454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9" dT="2021-06-28T04:34:27.11" personId="{70BEB912-B474-47A1-8803-8816A28D4C41}" id="{54ADC3EB-3075-4178-8AAB-48CDAEFE8063}">
    <text>EBS운영 (종료전까지) - 175,600
경영기획팀 - 9,446,840
박영일 이사 - 807,200
권세희 책임 - 313,910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6.bin"/><Relationship Id="rId4" Type="http://schemas.microsoft.com/office/2017/10/relationships/threadedComment" Target="../threadedComments/threadedComment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A8B55-475C-47C5-B98A-529B911DA37F}">
  <dimension ref="A2:K5"/>
  <sheetViews>
    <sheetView workbookViewId="0">
      <selection activeCell="K20" sqref="K20"/>
    </sheetView>
  </sheetViews>
  <sheetFormatPr defaultRowHeight="13.5"/>
  <cols>
    <col min="1" max="1" width="23.875" bestFit="1" customWidth="1"/>
    <col min="2" max="2" width="15" bestFit="1" customWidth="1"/>
  </cols>
  <sheetData>
    <row r="2" spans="1:11">
      <c r="A2" s="295" t="s">
        <v>0</v>
      </c>
      <c r="B2" s="295" t="s">
        <v>1</v>
      </c>
      <c r="C2" s="295" t="s">
        <v>2</v>
      </c>
      <c r="D2" s="295" t="s">
        <v>3</v>
      </c>
      <c r="E2" s="295" t="s">
        <v>4</v>
      </c>
      <c r="F2" s="295" t="s">
        <v>5</v>
      </c>
      <c r="G2" s="295" t="s">
        <v>6</v>
      </c>
      <c r="H2" s="295" t="s">
        <v>7</v>
      </c>
      <c r="I2" s="295" t="s">
        <v>8</v>
      </c>
      <c r="J2" s="295" t="s">
        <v>9</v>
      </c>
      <c r="K2" s="295" t="s">
        <v>10</v>
      </c>
    </row>
    <row r="3" spans="1:11">
      <c r="A3" s="293" t="s">
        <v>11</v>
      </c>
      <c r="B3" s="294">
        <f>SUM('2021년 입,출금 총현황'!C61,'4월12일 '!C48,'4월19일'!C35,'4월26일'!C42)</f>
        <v>394953956</v>
      </c>
      <c r="C3" s="293"/>
      <c r="D3" s="293"/>
      <c r="E3" s="293"/>
      <c r="F3" s="293"/>
      <c r="G3" s="293"/>
      <c r="H3" s="293"/>
      <c r="I3" s="293"/>
      <c r="J3" s="293"/>
      <c r="K3" s="293"/>
    </row>
    <row r="4" spans="1:11">
      <c r="A4" s="293" t="s">
        <v>12</v>
      </c>
      <c r="B4" s="294">
        <f>SUM('4월2일 '!H61,'4월12일 '!I48,'4월19일'!H35,'4월26일'!H42)</f>
        <v>571902486.98300004</v>
      </c>
      <c r="C4" s="293"/>
      <c r="D4" s="293"/>
      <c r="E4" s="293"/>
      <c r="F4" s="293"/>
      <c r="G4" s="293"/>
      <c r="H4" s="293"/>
      <c r="I4" s="293"/>
      <c r="J4" s="293"/>
      <c r="K4" s="293"/>
    </row>
    <row r="5" spans="1:11">
      <c r="A5" s="293" t="s">
        <v>13</v>
      </c>
      <c r="B5" s="294">
        <f>SUM('4월2일 '!H53:H60,'4월12일 '!H40:H47,'4월19일'!H23:H34,'4월26일'!H25:H41)</f>
        <v>10635099</v>
      </c>
      <c r="C5" s="293"/>
      <c r="D5" s="293"/>
      <c r="E5" s="293"/>
      <c r="F5" s="293"/>
      <c r="G5" s="293"/>
      <c r="H5" s="293"/>
      <c r="I5" s="293"/>
      <c r="J5" s="293"/>
      <c r="K5" s="29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F6C62-747A-455A-B8F1-1E98087B7D72}">
  <sheetPr>
    <tabColor rgb="FF00B0F0"/>
  </sheetPr>
  <dimension ref="A1:L76"/>
  <sheetViews>
    <sheetView view="pageBreakPreview" topLeftCell="A34" zoomScale="85" zoomScaleNormal="100" zoomScaleSheetLayoutView="85" workbookViewId="0">
      <selection activeCell="G44" sqref="G44"/>
    </sheetView>
  </sheetViews>
  <sheetFormatPr defaultRowHeight="16.5"/>
  <cols>
    <col min="1" max="1" width="4.5" customWidth="1"/>
    <col min="2" max="2" width="54.5" customWidth="1"/>
    <col min="3" max="4" width="17.125" customWidth="1"/>
    <col min="5" max="5" width="23.25" customWidth="1"/>
    <col min="6" max="6" width="4.5" customWidth="1"/>
    <col min="7" max="7" width="62.375" customWidth="1"/>
    <col min="8" max="9" width="17.25" customWidth="1"/>
    <col min="10" max="10" width="17.25" style="13" customWidth="1"/>
    <col min="11" max="11" width="27.5" style="13" customWidth="1"/>
  </cols>
  <sheetData>
    <row r="1" spans="1:12" ht="36.75" customHeight="1"/>
    <row r="2" spans="1:12" ht="21.95" customHeight="1">
      <c r="A2" s="811" t="s">
        <v>14</v>
      </c>
      <c r="B2" s="811"/>
      <c r="C2" s="811"/>
      <c r="D2" s="811"/>
      <c r="E2" s="811"/>
      <c r="F2" s="811"/>
      <c r="G2" s="811"/>
      <c r="H2" s="811"/>
      <c r="I2" s="811"/>
      <c r="J2" s="811"/>
      <c r="K2" s="811"/>
    </row>
    <row r="3" spans="1:12" ht="12" customHeight="1">
      <c r="A3" s="811"/>
      <c r="B3" s="811"/>
      <c r="C3" s="811"/>
      <c r="D3" s="811"/>
      <c r="E3" s="811"/>
      <c r="F3" s="811"/>
      <c r="G3" s="811"/>
      <c r="H3" s="811"/>
      <c r="I3" s="811"/>
      <c r="J3" s="811"/>
      <c r="K3" s="811"/>
    </row>
    <row r="4" spans="1:12" ht="21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2" ht="18" customHeight="1">
      <c r="A5" s="818" t="s">
        <v>519</v>
      </c>
      <c r="B5" s="818"/>
      <c r="C5" s="818"/>
      <c r="D5" s="818"/>
      <c r="E5" s="818"/>
      <c r="F5" s="818"/>
      <c r="G5" s="818"/>
      <c r="H5" s="818"/>
      <c r="I5" s="818"/>
      <c r="J5" s="818"/>
      <c r="K5" s="689"/>
    </row>
    <row r="6" spans="1:12" ht="18" customHeight="1" thickBot="1">
      <c r="A6" s="818" t="s">
        <v>16</v>
      </c>
      <c r="B6" s="819"/>
      <c r="C6" s="819"/>
      <c r="D6" s="819"/>
      <c r="E6" s="819"/>
      <c r="F6" s="819"/>
      <c r="G6" s="819"/>
      <c r="H6" s="690"/>
      <c r="I6" s="690"/>
      <c r="J6" s="3"/>
      <c r="K6" s="3"/>
    </row>
    <row r="7" spans="1:12" ht="27.75" customHeight="1" thickBot="1">
      <c r="A7" s="843" t="s">
        <v>17</v>
      </c>
      <c r="B7" s="844"/>
      <c r="C7" s="837" t="s">
        <v>18</v>
      </c>
      <c r="D7" s="828"/>
      <c r="E7" s="838"/>
      <c r="F7" s="837" t="s">
        <v>19</v>
      </c>
      <c r="G7" s="838"/>
      <c r="H7" s="828" t="s">
        <v>20</v>
      </c>
      <c r="I7" s="828"/>
      <c r="J7" s="828"/>
      <c r="K7" s="829"/>
    </row>
    <row r="8" spans="1:12" ht="18" customHeight="1" thickTop="1" thickBot="1">
      <c r="A8" s="824">
        <v>155814830.01700002</v>
      </c>
      <c r="B8" s="825"/>
      <c r="C8" s="812">
        <f>C51</f>
        <v>320122280</v>
      </c>
      <c r="D8" s="813"/>
      <c r="E8" s="814"/>
      <c r="F8" s="839">
        <f>I51</f>
        <v>482113522.01099998</v>
      </c>
      <c r="G8" s="840"/>
      <c r="H8" s="830">
        <f>SUM(A8:E9)-F8</f>
        <v>-6176411.993999958</v>
      </c>
      <c r="I8" s="830"/>
      <c r="J8" s="830"/>
      <c r="K8" s="831"/>
    </row>
    <row r="9" spans="1:12" ht="22.5" customHeight="1" thickTop="1" thickBot="1">
      <c r="A9" s="826"/>
      <c r="B9" s="827"/>
      <c r="C9" s="815"/>
      <c r="D9" s="816"/>
      <c r="E9" s="817"/>
      <c r="F9" s="841"/>
      <c r="G9" s="842"/>
      <c r="H9" s="832"/>
      <c r="I9" s="832"/>
      <c r="J9" s="832"/>
      <c r="K9" s="833"/>
    </row>
    <row r="10" spans="1:12" ht="18" customHeight="1">
      <c r="A10" s="689"/>
      <c r="B10" s="690"/>
      <c r="C10" s="690"/>
      <c r="D10" s="690"/>
      <c r="E10" s="690"/>
      <c r="F10" s="690"/>
      <c r="G10" s="690"/>
      <c r="H10" s="690"/>
      <c r="I10" s="690"/>
      <c r="J10" s="23"/>
      <c r="K10" s="23"/>
    </row>
    <row r="11" spans="1:12" ht="32.25" customHeight="1" thickBot="1">
      <c r="A11" s="818" t="s">
        <v>21</v>
      </c>
      <c r="B11" s="819"/>
      <c r="C11" s="819"/>
      <c r="D11" s="819"/>
      <c r="E11" s="819"/>
      <c r="F11" s="819"/>
      <c r="G11" s="819"/>
      <c r="H11" s="690"/>
      <c r="I11" s="690"/>
      <c r="J11" s="3"/>
      <c r="K11" s="3"/>
    </row>
    <row r="12" spans="1:12" ht="39.950000000000003" customHeight="1" thickBot="1">
      <c r="A12" s="851" t="s">
        <v>520</v>
      </c>
      <c r="B12" s="852"/>
      <c r="C12" s="852"/>
      <c r="D12" s="852"/>
      <c r="E12" s="853"/>
      <c r="F12" s="851" t="s">
        <v>520</v>
      </c>
      <c r="G12" s="852"/>
      <c r="H12" s="852"/>
      <c r="I12" s="852"/>
      <c r="J12" s="852"/>
      <c r="K12" s="853"/>
    </row>
    <row r="13" spans="1:12" ht="39.950000000000003" customHeight="1" thickBot="1">
      <c r="A13" s="374" t="s">
        <v>24</v>
      </c>
      <c r="B13" s="375" t="s">
        <v>25</v>
      </c>
      <c r="C13" s="376" t="s">
        <v>108</v>
      </c>
      <c r="D13" s="376" t="s">
        <v>27</v>
      </c>
      <c r="E13" s="377" t="s">
        <v>10</v>
      </c>
      <c r="F13" s="374" t="s">
        <v>24</v>
      </c>
      <c r="G13" s="375" t="s">
        <v>25</v>
      </c>
      <c r="H13" s="376" t="s">
        <v>26</v>
      </c>
      <c r="I13" s="376"/>
      <c r="J13" s="376" t="s">
        <v>27</v>
      </c>
      <c r="K13" s="377" t="s">
        <v>10</v>
      </c>
    </row>
    <row r="14" spans="1:12" ht="39.950000000000003" customHeight="1">
      <c r="A14" s="382">
        <v>1</v>
      </c>
      <c r="B14" s="383" t="s">
        <v>204</v>
      </c>
      <c r="C14" s="384">
        <v>16500000</v>
      </c>
      <c r="D14" s="385" t="s">
        <v>515</v>
      </c>
      <c r="E14" s="386" t="s">
        <v>30</v>
      </c>
      <c r="F14" s="392">
        <v>1</v>
      </c>
      <c r="G14" s="393" t="s">
        <v>451</v>
      </c>
      <c r="H14" s="394">
        <v>305462105</v>
      </c>
      <c r="I14" s="395">
        <v>268827785</v>
      </c>
      <c r="J14" s="396">
        <v>44326</v>
      </c>
      <c r="K14" s="397" t="s">
        <v>253</v>
      </c>
      <c r="L14" s="6"/>
    </row>
    <row r="15" spans="1:12" ht="39.950000000000003" customHeight="1">
      <c r="A15" s="27">
        <v>2</v>
      </c>
      <c r="B15" s="105" t="s">
        <v>521</v>
      </c>
      <c r="C15" s="7">
        <v>30000000</v>
      </c>
      <c r="D15" s="139" t="s">
        <v>35</v>
      </c>
      <c r="E15" s="94" t="s">
        <v>35</v>
      </c>
      <c r="F15" s="327">
        <v>2</v>
      </c>
      <c r="G15" s="336" t="s">
        <v>453</v>
      </c>
      <c r="H15" s="334">
        <f>8333333</f>
        <v>8333333</v>
      </c>
      <c r="I15" s="337">
        <f>H15-(H15*3.3%)</f>
        <v>8058333.0109999999</v>
      </c>
      <c r="J15" s="331" t="s">
        <v>35</v>
      </c>
      <c r="K15" s="344"/>
      <c r="L15" s="6"/>
    </row>
    <row r="16" spans="1:12" ht="39.950000000000003" customHeight="1">
      <c r="A16" s="27">
        <v>3</v>
      </c>
      <c r="B16" s="105" t="s">
        <v>516</v>
      </c>
      <c r="C16" s="7">
        <v>47685000</v>
      </c>
      <c r="D16" s="139" t="s">
        <v>35</v>
      </c>
      <c r="E16" s="94" t="s">
        <v>35</v>
      </c>
      <c r="F16" s="327">
        <v>3</v>
      </c>
      <c r="G16" s="336" t="s">
        <v>455</v>
      </c>
      <c r="H16" s="334">
        <v>5500000</v>
      </c>
      <c r="I16" s="337">
        <f t="shared" ref="I16:I31" si="0">H16-(H16*3.3%)</f>
        <v>5318500</v>
      </c>
      <c r="J16" s="331" t="s">
        <v>35</v>
      </c>
      <c r="K16" s="344"/>
      <c r="L16" s="6"/>
    </row>
    <row r="17" spans="1:12" ht="39.950000000000003" customHeight="1">
      <c r="A17" s="27">
        <v>4</v>
      </c>
      <c r="B17" s="105" t="s">
        <v>517</v>
      </c>
      <c r="C17" s="7">
        <f>110000000</f>
        <v>110000000</v>
      </c>
      <c r="D17" s="139" t="s">
        <v>35</v>
      </c>
      <c r="E17" s="94" t="s">
        <v>35</v>
      </c>
      <c r="F17" s="327">
        <v>4</v>
      </c>
      <c r="G17" s="336" t="s">
        <v>457</v>
      </c>
      <c r="H17" s="329">
        <f>6000000</f>
        <v>6000000</v>
      </c>
      <c r="I17" s="337">
        <f t="shared" si="0"/>
        <v>5802000</v>
      </c>
      <c r="J17" s="331" t="s">
        <v>35</v>
      </c>
      <c r="K17" s="344"/>
      <c r="L17" s="6"/>
    </row>
    <row r="18" spans="1:12" ht="39.950000000000003" customHeight="1">
      <c r="A18" s="27">
        <v>5</v>
      </c>
      <c r="B18" s="105" t="s">
        <v>445</v>
      </c>
      <c r="C18" s="7">
        <v>32670000</v>
      </c>
      <c r="D18" s="139" t="s">
        <v>35</v>
      </c>
      <c r="E18" s="94" t="s">
        <v>35</v>
      </c>
      <c r="F18" s="327">
        <v>5</v>
      </c>
      <c r="G18" s="336" t="s">
        <v>459</v>
      </c>
      <c r="H18" s="334">
        <v>4500000</v>
      </c>
      <c r="I18" s="337">
        <f t="shared" si="0"/>
        <v>4351500</v>
      </c>
      <c r="J18" s="331" t="s">
        <v>35</v>
      </c>
      <c r="K18" s="344"/>
      <c r="L18" s="6"/>
    </row>
    <row r="19" spans="1:12" ht="39.950000000000003" customHeight="1">
      <c r="A19" s="27">
        <v>6</v>
      </c>
      <c r="B19" s="105" t="s">
        <v>522</v>
      </c>
      <c r="C19" s="7">
        <v>44467280</v>
      </c>
      <c r="D19" s="139" t="s">
        <v>35</v>
      </c>
      <c r="E19" s="94" t="s">
        <v>35</v>
      </c>
      <c r="F19" s="327">
        <v>6</v>
      </c>
      <c r="G19" s="336" t="s">
        <v>460</v>
      </c>
      <c r="H19" s="334">
        <v>6000000</v>
      </c>
      <c r="I19" s="337">
        <f t="shared" si="0"/>
        <v>5802000</v>
      </c>
      <c r="J19" s="331" t="s">
        <v>35</v>
      </c>
      <c r="K19" s="344"/>
      <c r="L19" s="6"/>
    </row>
    <row r="20" spans="1:12" ht="39.950000000000003" customHeight="1">
      <c r="A20" s="27">
        <v>7</v>
      </c>
      <c r="B20" s="105" t="s">
        <v>450</v>
      </c>
      <c r="C20" s="7">
        <v>11000000</v>
      </c>
      <c r="D20" s="7" t="s">
        <v>523</v>
      </c>
      <c r="E20" s="94" t="s">
        <v>35</v>
      </c>
      <c r="F20" s="327">
        <v>7</v>
      </c>
      <c r="G20" s="336" t="s">
        <v>461</v>
      </c>
      <c r="H20" s="334">
        <f>4000000</f>
        <v>4000000</v>
      </c>
      <c r="I20" s="337">
        <f t="shared" si="0"/>
        <v>3868000</v>
      </c>
      <c r="J20" s="331" t="s">
        <v>35</v>
      </c>
      <c r="K20" s="344"/>
      <c r="L20" s="6"/>
    </row>
    <row r="21" spans="1:12" ht="39.950000000000003" customHeight="1">
      <c r="A21" s="27">
        <v>8</v>
      </c>
      <c r="B21" s="105" t="s">
        <v>524</v>
      </c>
      <c r="C21" s="7">
        <v>25000000</v>
      </c>
      <c r="D21" s="139" t="s">
        <v>35</v>
      </c>
      <c r="E21" s="94" t="s">
        <v>35</v>
      </c>
      <c r="F21" s="327">
        <v>8</v>
      </c>
      <c r="G21" s="336" t="s">
        <v>462</v>
      </c>
      <c r="H21" s="334">
        <v>4000000</v>
      </c>
      <c r="I21" s="337">
        <f t="shared" si="0"/>
        <v>3868000</v>
      </c>
      <c r="J21" s="331" t="s">
        <v>35</v>
      </c>
      <c r="K21" s="344" t="s">
        <v>463</v>
      </c>
      <c r="L21" s="6"/>
    </row>
    <row r="22" spans="1:12" ht="39.950000000000003" customHeight="1">
      <c r="A22" s="27">
        <v>9</v>
      </c>
      <c r="B22" s="105" t="s">
        <v>525</v>
      </c>
      <c r="C22" s="7">
        <v>2800000</v>
      </c>
      <c r="D22" s="139" t="s">
        <v>35</v>
      </c>
      <c r="E22" s="94" t="s">
        <v>35</v>
      </c>
      <c r="F22" s="327">
        <v>9</v>
      </c>
      <c r="G22" s="336" t="s">
        <v>464</v>
      </c>
      <c r="H22" s="334">
        <v>4300000</v>
      </c>
      <c r="I22" s="337">
        <f t="shared" si="0"/>
        <v>4158100</v>
      </c>
      <c r="J22" s="331" t="s">
        <v>35</v>
      </c>
      <c r="K22" s="344" t="s">
        <v>518</v>
      </c>
      <c r="L22" s="6"/>
    </row>
    <row r="23" spans="1:12" ht="39.950000000000003" customHeight="1">
      <c r="A23" s="27"/>
      <c r="B23" s="105"/>
      <c r="C23" s="7"/>
      <c r="D23" s="139"/>
      <c r="E23" s="94"/>
      <c r="F23" s="327">
        <v>10</v>
      </c>
      <c r="G23" s="336" t="s">
        <v>465</v>
      </c>
      <c r="H23" s="334">
        <v>6500000</v>
      </c>
      <c r="I23" s="337">
        <f t="shared" si="0"/>
        <v>6285500</v>
      </c>
      <c r="J23" s="331" t="s">
        <v>35</v>
      </c>
      <c r="K23" s="344"/>
      <c r="L23" s="6"/>
    </row>
    <row r="24" spans="1:12" ht="39.950000000000003" customHeight="1">
      <c r="A24" s="27"/>
      <c r="B24" s="105"/>
      <c r="C24" s="7"/>
      <c r="D24" s="7"/>
      <c r="E24" s="94"/>
      <c r="F24" s="327">
        <v>11</v>
      </c>
      <c r="G24" s="336" t="s">
        <v>467</v>
      </c>
      <c r="H24" s="335">
        <f>5500000</f>
        <v>5500000</v>
      </c>
      <c r="I24" s="337">
        <f t="shared" si="0"/>
        <v>5318500</v>
      </c>
      <c r="J24" s="331" t="s">
        <v>35</v>
      </c>
      <c r="K24" s="344"/>
      <c r="L24" s="6"/>
    </row>
    <row r="25" spans="1:12" ht="39.950000000000003" customHeight="1">
      <c r="A25" s="27"/>
      <c r="B25" s="10"/>
      <c r="C25" s="19"/>
      <c r="D25" s="7"/>
      <c r="E25" s="94"/>
      <c r="F25" s="327">
        <v>12</v>
      </c>
      <c r="G25" s="336" t="s">
        <v>468</v>
      </c>
      <c r="H25" s="334">
        <f>6000000</f>
        <v>6000000</v>
      </c>
      <c r="I25" s="337">
        <f t="shared" si="0"/>
        <v>5802000</v>
      </c>
      <c r="J25" s="331" t="s">
        <v>35</v>
      </c>
      <c r="K25" s="344"/>
      <c r="L25" s="6"/>
    </row>
    <row r="26" spans="1:12" ht="39.950000000000003" customHeight="1">
      <c r="A26" s="27"/>
      <c r="B26" s="367"/>
      <c r="C26" s="19"/>
      <c r="D26" s="118"/>
      <c r="E26" s="94"/>
      <c r="F26" s="327">
        <v>13</v>
      </c>
      <c r="G26" s="336" t="s">
        <v>469</v>
      </c>
      <c r="H26" s="334">
        <v>6500000</v>
      </c>
      <c r="I26" s="337">
        <f t="shared" si="0"/>
        <v>6285500</v>
      </c>
      <c r="J26" s="331" t="s">
        <v>35</v>
      </c>
      <c r="K26" s="344" t="s">
        <v>518</v>
      </c>
      <c r="L26" s="6"/>
    </row>
    <row r="27" spans="1:12" ht="39.950000000000003" customHeight="1">
      <c r="A27" s="27"/>
      <c r="B27" s="367"/>
      <c r="C27" s="19"/>
      <c r="D27" s="118"/>
      <c r="E27" s="94"/>
      <c r="F27" s="327">
        <v>14</v>
      </c>
      <c r="G27" s="336" t="s">
        <v>470</v>
      </c>
      <c r="H27" s="335">
        <v>6800000</v>
      </c>
      <c r="I27" s="337">
        <f t="shared" si="0"/>
        <v>6575600</v>
      </c>
      <c r="J27" s="331" t="s">
        <v>35</v>
      </c>
      <c r="K27" s="344"/>
      <c r="L27" s="6"/>
    </row>
    <row r="28" spans="1:12" ht="39.950000000000003" customHeight="1">
      <c r="A28" s="27"/>
      <c r="B28" s="367"/>
      <c r="C28" s="19"/>
      <c r="D28" s="118"/>
      <c r="E28" s="94"/>
      <c r="F28" s="327">
        <v>15</v>
      </c>
      <c r="G28" s="336" t="s">
        <v>471</v>
      </c>
      <c r="H28" s="335">
        <v>5800000</v>
      </c>
      <c r="I28" s="337">
        <f t="shared" si="0"/>
        <v>5608600</v>
      </c>
      <c r="J28" s="331" t="s">
        <v>35</v>
      </c>
      <c r="K28" s="344"/>
      <c r="L28" s="6"/>
    </row>
    <row r="29" spans="1:12" ht="39.950000000000003" customHeight="1">
      <c r="A29" s="27"/>
      <c r="B29" s="367"/>
      <c r="C29" s="19"/>
      <c r="D29" s="118"/>
      <c r="E29" s="94"/>
      <c r="F29" s="327">
        <v>16</v>
      </c>
      <c r="G29" s="336" t="s">
        <v>526</v>
      </c>
      <c r="H29" s="335">
        <v>6500000</v>
      </c>
      <c r="I29" s="337">
        <f t="shared" si="0"/>
        <v>6285500</v>
      </c>
      <c r="J29" s="331" t="s">
        <v>35</v>
      </c>
      <c r="K29" s="344" t="s">
        <v>527</v>
      </c>
      <c r="L29" s="6"/>
    </row>
    <row r="30" spans="1:12" ht="39.950000000000003" customHeight="1">
      <c r="A30" s="27"/>
      <c r="B30" s="367"/>
      <c r="C30" s="19"/>
      <c r="D30" s="118"/>
      <c r="E30" s="94"/>
      <c r="F30" s="327">
        <v>17</v>
      </c>
      <c r="G30" s="336" t="s">
        <v>472</v>
      </c>
      <c r="H30" s="334">
        <v>2933333</v>
      </c>
      <c r="I30" s="337">
        <f t="shared" si="0"/>
        <v>2836533.0109999999</v>
      </c>
      <c r="J30" s="331" t="s">
        <v>35</v>
      </c>
      <c r="K30" s="347" t="s">
        <v>473</v>
      </c>
      <c r="L30" s="6"/>
    </row>
    <row r="31" spans="1:12" ht="39.950000000000003" customHeight="1">
      <c r="A31" s="27"/>
      <c r="B31" s="367"/>
      <c r="C31" s="19"/>
      <c r="D31" s="118"/>
      <c r="E31" s="94"/>
      <c r="F31" s="327">
        <v>18</v>
      </c>
      <c r="G31" s="336" t="s">
        <v>474</v>
      </c>
      <c r="H31" s="334">
        <v>4266667</v>
      </c>
      <c r="I31" s="337">
        <f t="shared" si="0"/>
        <v>4125866.9890000001</v>
      </c>
      <c r="J31" s="331" t="s">
        <v>35</v>
      </c>
      <c r="K31" s="347" t="s">
        <v>475</v>
      </c>
      <c r="L31" s="6"/>
    </row>
    <row r="32" spans="1:12" ht="39.950000000000003" customHeight="1">
      <c r="A32" s="27"/>
      <c r="B32" s="367"/>
      <c r="C32" s="19"/>
      <c r="D32" s="118"/>
      <c r="E32" s="94"/>
      <c r="F32" s="327">
        <v>19</v>
      </c>
      <c r="G32" s="336" t="s">
        <v>230</v>
      </c>
      <c r="H32" s="334">
        <v>8690000</v>
      </c>
      <c r="I32" s="337">
        <v>8690000</v>
      </c>
      <c r="J32" s="331" t="s">
        <v>35</v>
      </c>
      <c r="K32" s="344"/>
      <c r="L32" s="6"/>
    </row>
    <row r="33" spans="1:12" ht="39.950000000000003" customHeight="1">
      <c r="A33" s="27"/>
      <c r="B33" s="367"/>
      <c r="C33" s="19"/>
      <c r="D33" s="118"/>
      <c r="E33" s="94"/>
      <c r="F33" s="327">
        <v>20</v>
      </c>
      <c r="G33" s="336" t="s">
        <v>476</v>
      </c>
      <c r="H33" s="334">
        <v>5610000</v>
      </c>
      <c r="I33" s="337">
        <v>5610000</v>
      </c>
      <c r="J33" s="331" t="s">
        <v>35</v>
      </c>
      <c r="K33" s="344"/>
      <c r="L33" s="6"/>
    </row>
    <row r="34" spans="1:12" ht="39.950000000000003" customHeight="1">
      <c r="A34" s="27"/>
      <c r="B34" s="367"/>
      <c r="C34" s="19"/>
      <c r="D34" s="118"/>
      <c r="E34" s="94"/>
      <c r="F34" s="327">
        <v>21</v>
      </c>
      <c r="G34" s="336" t="s">
        <v>477</v>
      </c>
      <c r="H34" s="334">
        <f>4700000*1.1</f>
        <v>5170000</v>
      </c>
      <c r="I34" s="337">
        <f>4700000*1.1</f>
        <v>5170000</v>
      </c>
      <c r="J34" s="331" t="s">
        <v>35</v>
      </c>
      <c r="K34" s="344" t="s">
        <v>478</v>
      </c>
      <c r="L34" s="6"/>
    </row>
    <row r="35" spans="1:12" ht="39.950000000000003" customHeight="1">
      <c r="A35" s="27"/>
      <c r="B35" s="367"/>
      <c r="C35" s="19"/>
      <c r="D35" s="118"/>
      <c r="E35" s="94"/>
      <c r="F35" s="327">
        <v>22</v>
      </c>
      <c r="G35" s="336" t="s">
        <v>479</v>
      </c>
      <c r="H35" s="398">
        <v>7700000</v>
      </c>
      <c r="I35" s="337">
        <v>7700000</v>
      </c>
      <c r="J35" s="331" t="s">
        <v>35</v>
      </c>
      <c r="K35" s="344"/>
      <c r="L35" s="6"/>
    </row>
    <row r="36" spans="1:12" ht="39.950000000000003" customHeight="1">
      <c r="A36" s="27"/>
      <c r="B36" s="367"/>
      <c r="C36" s="19"/>
      <c r="D36" s="118"/>
      <c r="E36" s="94"/>
      <c r="F36" s="327">
        <v>23</v>
      </c>
      <c r="G36" s="336" t="s">
        <v>235</v>
      </c>
      <c r="H36" s="343">
        <f>12377900+1478870+2414910+597520</f>
        <v>16869200</v>
      </c>
      <c r="I36" s="343"/>
      <c r="J36" s="331" t="s">
        <v>35</v>
      </c>
      <c r="K36" s="344"/>
      <c r="L36" s="6"/>
    </row>
    <row r="37" spans="1:12" ht="39.950000000000003" customHeight="1">
      <c r="A37" s="27"/>
      <c r="B37" s="367"/>
      <c r="C37" s="19"/>
      <c r="D37" s="118"/>
      <c r="E37" s="94"/>
      <c r="F37" s="327">
        <v>24</v>
      </c>
      <c r="G37" s="336" t="s">
        <v>480</v>
      </c>
      <c r="H37" s="343">
        <v>20494060</v>
      </c>
      <c r="I37" s="343"/>
      <c r="J37" s="331" t="s">
        <v>35</v>
      </c>
      <c r="K37" s="344"/>
      <c r="L37" s="6"/>
    </row>
    <row r="38" spans="1:12" ht="39.950000000000003" customHeight="1">
      <c r="A38" s="27"/>
      <c r="B38" s="367"/>
      <c r="C38" s="19"/>
      <c r="D38" s="118"/>
      <c r="E38" s="94"/>
      <c r="F38" s="327">
        <v>25</v>
      </c>
      <c r="G38" s="336" t="s">
        <v>481</v>
      </c>
      <c r="H38" s="343">
        <v>25075300</v>
      </c>
      <c r="I38" s="343"/>
      <c r="J38" s="331" t="s">
        <v>35</v>
      </c>
      <c r="K38" s="344"/>
      <c r="L38" s="6"/>
    </row>
    <row r="39" spans="1:12" ht="39.950000000000003" customHeight="1">
      <c r="A39" s="27"/>
      <c r="B39" s="367"/>
      <c r="C39" s="19"/>
      <c r="D39" s="118"/>
      <c r="E39" s="94"/>
      <c r="F39" s="327">
        <v>26</v>
      </c>
      <c r="G39" s="336" t="s">
        <v>482</v>
      </c>
      <c r="H39" s="343">
        <v>5965630</v>
      </c>
      <c r="I39" s="343"/>
      <c r="J39" s="331" t="s">
        <v>35</v>
      </c>
      <c r="K39" s="344"/>
      <c r="L39" s="6"/>
    </row>
    <row r="40" spans="1:12" ht="39.950000000000003" customHeight="1">
      <c r="A40" s="27"/>
      <c r="B40" s="367"/>
      <c r="C40" s="19"/>
      <c r="D40" s="118"/>
      <c r="E40" s="94"/>
      <c r="F40" s="327">
        <v>27</v>
      </c>
      <c r="G40" s="336" t="s">
        <v>483</v>
      </c>
      <c r="H40" s="343">
        <v>2077660</v>
      </c>
      <c r="I40" s="343"/>
      <c r="J40" s="331" t="s">
        <v>35</v>
      </c>
      <c r="K40" s="344"/>
      <c r="L40" s="6"/>
    </row>
    <row r="41" spans="1:12" ht="39.950000000000003" customHeight="1">
      <c r="A41" s="27"/>
      <c r="B41" s="367"/>
      <c r="C41" s="19"/>
      <c r="D41" s="118"/>
      <c r="E41" s="94"/>
      <c r="F41" s="327">
        <v>28</v>
      </c>
      <c r="G41" s="336" t="s">
        <v>528</v>
      </c>
      <c r="H41" s="373">
        <f>261424</f>
        <v>261424</v>
      </c>
      <c r="I41" s="343"/>
      <c r="J41" s="331">
        <v>44327</v>
      </c>
      <c r="K41" s="344"/>
      <c r="L41" s="6"/>
    </row>
    <row r="42" spans="1:12" ht="39.950000000000003" customHeight="1">
      <c r="A42" s="27"/>
      <c r="B42" s="367"/>
      <c r="C42" s="19"/>
      <c r="D42" s="118"/>
      <c r="E42" s="94"/>
      <c r="F42" s="327">
        <v>29</v>
      </c>
      <c r="G42" s="336" t="s">
        <v>484</v>
      </c>
      <c r="H42" s="373">
        <v>25017430</v>
      </c>
      <c r="I42" s="343"/>
      <c r="J42" s="331">
        <v>44328</v>
      </c>
      <c r="K42" s="344"/>
      <c r="L42" s="6"/>
    </row>
    <row r="43" spans="1:12" ht="39.950000000000003" customHeight="1">
      <c r="A43" s="27"/>
      <c r="B43" s="367"/>
      <c r="C43" s="19"/>
      <c r="D43" s="118"/>
      <c r="E43" s="94"/>
      <c r="F43" s="327">
        <v>30</v>
      </c>
      <c r="G43" s="336" t="s">
        <v>529</v>
      </c>
      <c r="H43" s="373">
        <f>2000</f>
        <v>2000</v>
      </c>
      <c r="I43" s="343"/>
      <c r="J43" s="331" t="s">
        <v>35</v>
      </c>
      <c r="K43" s="344"/>
      <c r="L43" s="6"/>
    </row>
    <row r="44" spans="1:12" ht="39.950000000000003" customHeight="1">
      <c r="A44" s="327"/>
      <c r="B44" s="336"/>
      <c r="C44" s="343"/>
      <c r="D44" s="118"/>
      <c r="E44" s="94"/>
      <c r="F44" s="327">
        <v>31</v>
      </c>
      <c r="G44" s="336" t="s">
        <v>530</v>
      </c>
      <c r="H44" s="343">
        <f>2000</f>
        <v>2000</v>
      </c>
      <c r="I44" s="343"/>
      <c r="J44" s="331" t="s">
        <v>35</v>
      </c>
      <c r="K44" s="344" t="s">
        <v>531</v>
      </c>
      <c r="L44" s="6"/>
    </row>
    <row r="45" spans="1:12" ht="39.950000000000003" customHeight="1">
      <c r="A45" s="27"/>
      <c r="B45" s="367"/>
      <c r="C45" s="19"/>
      <c r="D45" s="118"/>
      <c r="E45" s="94"/>
      <c r="F45" s="419">
        <v>32</v>
      </c>
      <c r="G45" s="420" t="s">
        <v>532</v>
      </c>
      <c r="H45" s="421">
        <f>1000</f>
        <v>1000</v>
      </c>
      <c r="I45" s="421"/>
      <c r="J45" s="422" t="s">
        <v>35</v>
      </c>
      <c r="K45" s="423" t="s">
        <v>533</v>
      </c>
      <c r="L45" s="6"/>
    </row>
    <row r="46" spans="1:12" ht="39.950000000000003" customHeight="1">
      <c r="A46" s="27"/>
      <c r="B46" s="367"/>
      <c r="C46" s="19"/>
      <c r="D46" s="118"/>
      <c r="E46" s="94"/>
      <c r="F46" s="416">
        <v>33</v>
      </c>
      <c r="G46" s="328" t="s">
        <v>534</v>
      </c>
      <c r="H46" s="417">
        <f>33000</f>
        <v>33000</v>
      </c>
      <c r="I46" s="417"/>
      <c r="J46" s="418">
        <v>44328</v>
      </c>
      <c r="K46" s="361" t="s">
        <v>503</v>
      </c>
      <c r="L46" s="6"/>
    </row>
    <row r="47" spans="1:12" ht="39.950000000000003" customHeight="1">
      <c r="A47" s="27"/>
      <c r="B47" s="367"/>
      <c r="C47" s="19"/>
      <c r="D47" s="118"/>
      <c r="E47" s="94"/>
      <c r="F47" s="416">
        <v>34</v>
      </c>
      <c r="G47" s="328" t="s">
        <v>535</v>
      </c>
      <c r="H47" s="417">
        <f>21850</f>
        <v>21850</v>
      </c>
      <c r="I47" s="417"/>
      <c r="J47" s="418" t="s">
        <v>35</v>
      </c>
      <c r="K47" s="428"/>
      <c r="L47" s="6"/>
    </row>
    <row r="48" spans="1:12" ht="39.950000000000003" customHeight="1">
      <c r="A48" s="27"/>
      <c r="B48" s="367"/>
      <c r="C48" s="19"/>
      <c r="D48" s="118"/>
      <c r="E48" s="94"/>
      <c r="F48" s="416">
        <v>35</v>
      </c>
      <c r="G48" s="336" t="s">
        <v>536</v>
      </c>
      <c r="H48" s="343">
        <f>22500</f>
        <v>22500</v>
      </c>
      <c r="I48" s="343"/>
      <c r="J48" s="331">
        <v>44329</v>
      </c>
      <c r="K48" s="344"/>
      <c r="L48" s="6"/>
    </row>
    <row r="49" spans="1:12" ht="39.950000000000003" customHeight="1">
      <c r="A49" s="27"/>
      <c r="B49" s="367"/>
      <c r="C49" s="19"/>
      <c r="D49" s="118"/>
      <c r="E49" s="94"/>
      <c r="F49" s="416">
        <v>36</v>
      </c>
      <c r="G49" s="336" t="s">
        <v>537</v>
      </c>
      <c r="H49" s="343">
        <f>3690</f>
        <v>3690</v>
      </c>
      <c r="I49" s="343"/>
      <c r="J49" s="331" t="s">
        <v>35</v>
      </c>
      <c r="K49" s="344"/>
      <c r="L49" s="6"/>
    </row>
    <row r="50" spans="1:12" ht="39.950000000000003" customHeight="1" thickBot="1">
      <c r="A50" s="387"/>
      <c r="B50" s="388"/>
      <c r="C50" s="389"/>
      <c r="D50" s="390"/>
      <c r="E50" s="391"/>
      <c r="F50" s="399">
        <v>37</v>
      </c>
      <c r="G50" s="400" t="s">
        <v>538</v>
      </c>
      <c r="H50" s="401">
        <f>21850</f>
        <v>21850</v>
      </c>
      <c r="I50" s="401"/>
      <c r="J50" s="402">
        <v>44330</v>
      </c>
      <c r="K50" s="403"/>
      <c r="L50" s="6"/>
    </row>
    <row r="51" spans="1:12" ht="39.950000000000003" customHeight="1" thickBot="1">
      <c r="A51" s="231"/>
      <c r="B51" s="232" t="s">
        <v>72</v>
      </c>
      <c r="C51" s="233">
        <f>SUM(C14:C50)</f>
        <v>320122280</v>
      </c>
      <c r="D51" s="234"/>
      <c r="E51" s="235"/>
      <c r="F51" s="381"/>
      <c r="G51" s="232" t="s">
        <v>72</v>
      </c>
      <c r="H51" s="237">
        <f>SUM(H14:H45)</f>
        <v>521831142</v>
      </c>
      <c r="I51" s="237">
        <f>SUM(I14:I35,H36:H45)</f>
        <v>482113522.01099998</v>
      </c>
      <c r="J51" s="238" t="s">
        <v>73</v>
      </c>
      <c r="K51" s="239"/>
    </row>
    <row r="52" spans="1:12" ht="39.950000000000003" customHeight="1" thickBot="1">
      <c r="A52" s="820" t="s">
        <v>74</v>
      </c>
      <c r="B52" s="821"/>
      <c r="C52" s="821"/>
      <c r="D52" s="821"/>
      <c r="E52" s="821"/>
      <c r="F52" s="821"/>
      <c r="G52" s="821"/>
      <c r="H52" s="691"/>
      <c r="I52" s="691"/>
      <c r="J52" s="11"/>
      <c r="K52" s="11"/>
    </row>
    <row r="53" spans="1:12" ht="39.950000000000003" customHeight="1" thickBot="1">
      <c r="A53" s="848" t="s">
        <v>539</v>
      </c>
      <c r="B53" s="849"/>
      <c r="C53" s="849"/>
      <c r="D53" s="849"/>
      <c r="E53" s="850"/>
      <c r="F53" s="851" t="s">
        <v>540</v>
      </c>
      <c r="G53" s="852"/>
      <c r="H53" s="852"/>
      <c r="I53" s="852"/>
      <c r="J53" s="852"/>
      <c r="K53" s="853"/>
    </row>
    <row r="54" spans="1:12" ht="39.950000000000003" customHeight="1" thickBot="1">
      <c r="A54" s="425" t="s">
        <v>24</v>
      </c>
      <c r="B54" s="426" t="s">
        <v>25</v>
      </c>
      <c r="C54" s="427" t="s">
        <v>108</v>
      </c>
      <c r="D54" s="427" t="s">
        <v>27</v>
      </c>
      <c r="E54" s="693" t="s">
        <v>10</v>
      </c>
      <c r="F54" s="424" t="s">
        <v>24</v>
      </c>
      <c r="G54" s="378" t="s">
        <v>25</v>
      </c>
      <c r="H54" s="379" t="s">
        <v>26</v>
      </c>
      <c r="I54" s="379" t="s">
        <v>200</v>
      </c>
      <c r="J54" s="379" t="s">
        <v>27</v>
      </c>
      <c r="K54" s="380" t="s">
        <v>10</v>
      </c>
    </row>
    <row r="55" spans="1:12" ht="39.950000000000003" customHeight="1">
      <c r="A55" s="56">
        <v>1</v>
      </c>
      <c r="B55" s="5"/>
      <c r="C55" s="96"/>
      <c r="D55" s="223"/>
      <c r="E55" s="256"/>
      <c r="F55" s="407">
        <v>1</v>
      </c>
      <c r="G55" s="408" t="s">
        <v>541</v>
      </c>
      <c r="H55" s="409">
        <v>486575</v>
      </c>
      <c r="I55" s="409"/>
      <c r="J55" s="410">
        <v>44336</v>
      </c>
      <c r="K55" s="411" t="s">
        <v>542</v>
      </c>
    </row>
    <row r="56" spans="1:12" ht="39.950000000000003" customHeight="1">
      <c r="A56" s="56">
        <v>2</v>
      </c>
      <c r="B56" s="5"/>
      <c r="C56" s="96"/>
      <c r="D56" s="223"/>
      <c r="E56" s="256"/>
      <c r="F56" s="75"/>
      <c r="G56" s="5"/>
      <c r="H56" s="69"/>
      <c r="I56" s="71"/>
      <c r="J56" s="7"/>
      <c r="K56" s="429"/>
    </row>
    <row r="57" spans="1:12" ht="39.950000000000003" customHeight="1">
      <c r="A57" s="56">
        <v>3</v>
      </c>
      <c r="B57" s="10"/>
      <c r="C57" s="19"/>
      <c r="D57" s="7"/>
      <c r="E57" s="94"/>
      <c r="F57" s="4"/>
      <c r="G57" s="10"/>
      <c r="H57" s="74"/>
      <c r="I57" s="7"/>
      <c r="J57" s="71"/>
      <c r="K57" s="357"/>
    </row>
    <row r="58" spans="1:12" ht="39.950000000000003" customHeight="1">
      <c r="A58" s="56">
        <v>4</v>
      </c>
      <c r="B58" s="10"/>
      <c r="C58" s="19"/>
      <c r="D58" s="7"/>
      <c r="E58" s="94"/>
      <c r="F58" s="4"/>
      <c r="G58" s="10"/>
      <c r="H58" s="19"/>
      <c r="I58" s="7"/>
      <c r="J58" s="71"/>
      <c r="K58" s="357"/>
    </row>
    <row r="59" spans="1:12" ht="39.950000000000003" customHeight="1">
      <c r="A59" s="56">
        <v>5</v>
      </c>
      <c r="B59" s="10"/>
      <c r="C59" s="19"/>
      <c r="D59" s="7"/>
      <c r="E59" s="94"/>
      <c r="F59" s="4"/>
      <c r="G59" s="10"/>
      <c r="H59" s="19"/>
      <c r="I59" s="7"/>
      <c r="J59" s="71"/>
      <c r="K59" s="357"/>
    </row>
    <row r="60" spans="1:12" ht="39.950000000000003" customHeight="1">
      <c r="A60" s="56">
        <v>6</v>
      </c>
      <c r="B60" s="10"/>
      <c r="C60" s="19"/>
      <c r="D60" s="7"/>
      <c r="E60" s="94"/>
      <c r="F60" s="355"/>
      <c r="G60" s="5"/>
      <c r="H60" s="69"/>
      <c r="I60" s="71"/>
      <c r="J60" s="7"/>
      <c r="K60" s="429"/>
    </row>
    <row r="61" spans="1:12" ht="39.950000000000003" customHeight="1">
      <c r="A61" s="191"/>
      <c r="B61" s="105"/>
      <c r="C61" s="7"/>
      <c r="D61" s="7"/>
      <c r="E61" s="94"/>
      <c r="F61" s="355"/>
      <c r="G61" s="10"/>
      <c r="H61" s="74"/>
      <c r="I61" s="7"/>
      <c r="J61" s="71"/>
      <c r="K61" s="357"/>
    </row>
    <row r="62" spans="1:12" ht="39.950000000000003" customHeight="1">
      <c r="A62" s="191"/>
      <c r="B62" s="105"/>
      <c r="C62" s="7"/>
      <c r="D62" s="7"/>
      <c r="E62" s="94"/>
      <c r="F62" s="355"/>
      <c r="G62" s="10"/>
      <c r="H62" s="19"/>
      <c r="I62" s="7"/>
      <c r="J62" s="71"/>
      <c r="K62" s="357"/>
    </row>
    <row r="63" spans="1:12" ht="39.950000000000003" customHeight="1">
      <c r="A63" s="191"/>
      <c r="B63" s="105"/>
      <c r="C63" s="7"/>
      <c r="D63" s="7"/>
      <c r="E63" s="94"/>
      <c r="F63" s="355"/>
      <c r="G63" s="10"/>
      <c r="H63" s="19"/>
      <c r="I63" s="7"/>
      <c r="J63" s="71"/>
      <c r="K63" s="358"/>
    </row>
    <row r="64" spans="1:12" ht="39.950000000000003" customHeight="1">
      <c r="A64" s="191"/>
      <c r="B64" s="105"/>
      <c r="C64" s="7"/>
      <c r="D64" s="7"/>
      <c r="E64" s="94"/>
      <c r="F64" s="355"/>
      <c r="G64" s="359"/>
      <c r="H64" s="334"/>
      <c r="I64" s="334"/>
      <c r="J64" s="356"/>
      <c r="K64" s="358"/>
    </row>
    <row r="65" spans="1:11" ht="39.950000000000003" customHeight="1">
      <c r="A65" s="191"/>
      <c r="B65" s="105"/>
      <c r="C65" s="7"/>
      <c r="D65" s="7"/>
      <c r="E65" s="94"/>
      <c r="F65" s="355"/>
      <c r="G65" s="359"/>
      <c r="H65" s="334"/>
      <c r="I65" s="334"/>
      <c r="J65" s="356"/>
      <c r="K65" s="357"/>
    </row>
    <row r="66" spans="1:11" ht="39.950000000000003" customHeight="1">
      <c r="A66" s="191"/>
      <c r="B66" s="105"/>
      <c r="C66" s="7"/>
      <c r="D66" s="7"/>
      <c r="E66" s="94"/>
      <c r="F66" s="355"/>
      <c r="G66" s="359"/>
      <c r="H66" s="334"/>
      <c r="I66" s="334"/>
      <c r="J66" s="356"/>
      <c r="K66" s="357"/>
    </row>
    <row r="67" spans="1:11" ht="39.950000000000003" customHeight="1">
      <c r="A67" s="191"/>
      <c r="B67" s="105"/>
      <c r="C67" s="7"/>
      <c r="D67" s="7"/>
      <c r="E67" s="94"/>
      <c r="F67" s="355"/>
      <c r="G67" s="359"/>
      <c r="H67" s="334"/>
      <c r="I67" s="334"/>
      <c r="J67" s="356"/>
      <c r="K67" s="357"/>
    </row>
    <row r="68" spans="1:11" ht="39.950000000000003" customHeight="1">
      <c r="A68" s="191"/>
      <c r="B68" s="105"/>
      <c r="C68" s="7"/>
      <c r="D68" s="7"/>
      <c r="E68" s="94"/>
      <c r="F68" s="355"/>
      <c r="G68" s="359"/>
      <c r="H68" s="343"/>
      <c r="I68" s="334"/>
      <c r="J68" s="356"/>
      <c r="K68" s="357"/>
    </row>
    <row r="69" spans="1:11" ht="39.950000000000003" customHeight="1">
      <c r="A69" s="191"/>
      <c r="B69" s="105"/>
      <c r="C69" s="7"/>
      <c r="D69" s="7"/>
      <c r="E69" s="94"/>
      <c r="F69" s="355"/>
      <c r="G69" s="359"/>
      <c r="H69" s="343"/>
      <c r="I69" s="343"/>
      <c r="J69" s="356"/>
      <c r="K69" s="357"/>
    </row>
    <row r="70" spans="1:11" ht="39.950000000000003" customHeight="1">
      <c r="A70" s="191"/>
      <c r="B70" s="105"/>
      <c r="C70" s="7"/>
      <c r="D70" s="7"/>
      <c r="E70" s="94"/>
      <c r="F70" s="355"/>
      <c r="G70" s="359"/>
      <c r="H70" s="343"/>
      <c r="I70" s="343"/>
      <c r="J70" s="356"/>
      <c r="K70" s="357"/>
    </row>
    <row r="71" spans="1:11" ht="39.950000000000003" customHeight="1">
      <c r="A71" s="191"/>
      <c r="B71" s="105"/>
      <c r="C71" s="7"/>
      <c r="D71" s="7"/>
      <c r="E71" s="94"/>
      <c r="F71" s="355"/>
      <c r="G71" s="359"/>
      <c r="H71" s="343"/>
      <c r="I71" s="343"/>
      <c r="J71" s="356"/>
      <c r="K71" s="357"/>
    </row>
    <row r="72" spans="1:11" ht="39.950000000000003" customHeight="1">
      <c r="A72" s="191"/>
      <c r="B72" s="105"/>
      <c r="C72" s="7"/>
      <c r="D72" s="7"/>
      <c r="E72" s="94"/>
      <c r="F72" s="355"/>
      <c r="G72" s="359"/>
      <c r="H72" s="343"/>
      <c r="I72" s="343"/>
      <c r="J72" s="356"/>
      <c r="K72" s="357"/>
    </row>
    <row r="73" spans="1:11" ht="39.950000000000003" customHeight="1">
      <c r="A73" s="191"/>
      <c r="B73" s="105"/>
      <c r="C73" s="7"/>
      <c r="D73" s="7"/>
      <c r="E73" s="94"/>
      <c r="F73" s="355"/>
      <c r="G73" s="359"/>
      <c r="H73" s="343"/>
      <c r="I73" s="343"/>
      <c r="J73" s="356"/>
      <c r="K73" s="357"/>
    </row>
    <row r="74" spans="1:11" ht="39.950000000000003" customHeight="1">
      <c r="A74" s="191"/>
      <c r="B74" s="105"/>
      <c r="C74" s="7"/>
      <c r="D74" s="7"/>
      <c r="E74" s="94"/>
      <c r="F74" s="355"/>
      <c r="G74" s="359"/>
      <c r="H74" s="373"/>
      <c r="I74" s="343"/>
      <c r="J74" s="356"/>
      <c r="K74" s="357"/>
    </row>
    <row r="75" spans="1:11" ht="39.950000000000003" customHeight="1" thickBot="1">
      <c r="A75" s="404"/>
      <c r="B75" s="405"/>
      <c r="C75" s="406"/>
      <c r="D75" s="406"/>
      <c r="E75" s="391"/>
      <c r="F75" s="412"/>
      <c r="G75" s="413"/>
      <c r="H75" s="401"/>
      <c r="I75" s="401"/>
      <c r="J75" s="414"/>
      <c r="K75" s="415"/>
    </row>
    <row r="76" spans="1:11" ht="39.950000000000003" customHeight="1" thickBot="1">
      <c r="A76" s="231"/>
      <c r="B76" s="232" t="s">
        <v>72</v>
      </c>
      <c r="C76" s="237">
        <f>SUM(C56:C60)</f>
        <v>0</v>
      </c>
      <c r="D76" s="234"/>
      <c r="E76" s="235"/>
      <c r="F76" s="231"/>
      <c r="G76" s="232" t="s">
        <v>72</v>
      </c>
      <c r="H76" s="237">
        <f>SUM(H55:H75)</f>
        <v>486575</v>
      </c>
      <c r="I76" s="237"/>
      <c r="J76" s="238" t="s">
        <v>73</v>
      </c>
      <c r="K76" s="235"/>
    </row>
  </sheetData>
  <mergeCells count="17">
    <mergeCell ref="A2:K3"/>
    <mergeCell ref="A5:J5"/>
    <mergeCell ref="A6:G6"/>
    <mergeCell ref="A7:B7"/>
    <mergeCell ref="C7:E7"/>
    <mergeCell ref="F7:G7"/>
    <mergeCell ref="H7:K7"/>
    <mergeCell ref="A52:G52"/>
    <mergeCell ref="A53:E53"/>
    <mergeCell ref="F53:K53"/>
    <mergeCell ref="A8:B9"/>
    <mergeCell ref="C8:E9"/>
    <mergeCell ref="F8:G9"/>
    <mergeCell ref="H8:K9"/>
    <mergeCell ref="A11:G11"/>
    <mergeCell ref="A12:E12"/>
    <mergeCell ref="F12:K12"/>
  </mergeCells>
  <phoneticPr fontId="2" type="noConversion"/>
  <pageMargins left="0.19685039370078741" right="0" top="0.39370078740157483" bottom="0" header="0.31496062992125984" footer="0.31496062992125984"/>
  <pageSetup paperSize="9" scale="37" orientation="portrait" r:id="rId1"/>
  <rowBreaks count="1" manualBreakCount="1">
    <brk id="51" max="10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7E1CE-D31B-45A8-B196-0058C500A7CC}">
  <sheetPr>
    <tabColor rgb="FF00B0F0"/>
  </sheetPr>
  <dimension ref="A1:K52"/>
  <sheetViews>
    <sheetView view="pageBreakPreview" topLeftCell="A8" zoomScale="85" zoomScaleNormal="100" zoomScaleSheetLayoutView="85" workbookViewId="0">
      <selection activeCell="G22" sqref="G22"/>
    </sheetView>
  </sheetViews>
  <sheetFormatPr defaultRowHeight="16.5"/>
  <cols>
    <col min="1" max="1" width="4.5" customWidth="1"/>
    <col min="2" max="2" width="54.5" customWidth="1"/>
    <col min="3" max="4" width="17.125" customWidth="1"/>
    <col min="5" max="5" width="23.25" customWidth="1"/>
    <col min="6" max="6" width="4.5" customWidth="1"/>
    <col min="7" max="7" width="62.375" customWidth="1"/>
    <col min="8" max="8" width="17.25" customWidth="1"/>
    <col min="9" max="9" width="17.25" style="13" customWidth="1"/>
    <col min="10" max="10" width="27.5" style="13" customWidth="1"/>
  </cols>
  <sheetData>
    <row r="1" spans="1:11" ht="36.75" customHeight="1"/>
    <row r="2" spans="1:11" ht="21.95" customHeight="1">
      <c r="A2" s="811" t="s">
        <v>14</v>
      </c>
      <c r="B2" s="811"/>
      <c r="C2" s="811"/>
      <c r="D2" s="811"/>
      <c r="E2" s="811"/>
      <c r="F2" s="811"/>
      <c r="G2" s="811"/>
      <c r="H2" s="811"/>
      <c r="I2" s="811"/>
      <c r="J2" s="811"/>
    </row>
    <row r="3" spans="1:11" ht="12" customHeight="1">
      <c r="A3" s="811"/>
      <c r="B3" s="811"/>
      <c r="C3" s="811"/>
      <c r="D3" s="811"/>
      <c r="E3" s="811"/>
      <c r="F3" s="811"/>
      <c r="G3" s="811"/>
      <c r="H3" s="811"/>
      <c r="I3" s="811"/>
      <c r="J3" s="811"/>
    </row>
    <row r="4" spans="1:11" ht="21.75" customHeight="1">
      <c r="A4" s="1"/>
      <c r="B4" s="1"/>
      <c r="C4" s="1"/>
      <c r="D4" s="1"/>
      <c r="E4" s="1"/>
      <c r="F4" s="1"/>
      <c r="G4" s="1"/>
      <c r="H4" s="1"/>
      <c r="I4" s="1"/>
      <c r="J4" s="1"/>
    </row>
    <row r="5" spans="1:11" ht="18" customHeight="1">
      <c r="A5" s="818" t="s">
        <v>543</v>
      </c>
      <c r="B5" s="818"/>
      <c r="C5" s="818"/>
      <c r="D5" s="818"/>
      <c r="E5" s="818"/>
      <c r="F5" s="818"/>
      <c r="G5" s="818"/>
      <c r="H5" s="818"/>
      <c r="I5" s="818"/>
      <c r="J5" s="689"/>
    </row>
    <row r="6" spans="1:11" ht="18" customHeight="1" thickBot="1">
      <c r="A6" s="818" t="s">
        <v>16</v>
      </c>
      <c r="B6" s="819"/>
      <c r="C6" s="819"/>
      <c r="D6" s="819"/>
      <c r="E6" s="819"/>
      <c r="F6" s="819"/>
      <c r="G6" s="819"/>
      <c r="H6" s="690"/>
      <c r="I6" s="3"/>
      <c r="J6" s="3"/>
    </row>
    <row r="7" spans="1:11" ht="27.75" customHeight="1" thickBot="1">
      <c r="A7" s="843" t="s">
        <v>17</v>
      </c>
      <c r="B7" s="844"/>
      <c r="C7" s="837" t="s">
        <v>18</v>
      </c>
      <c r="D7" s="828"/>
      <c r="E7" s="838"/>
      <c r="F7" s="837" t="s">
        <v>19</v>
      </c>
      <c r="G7" s="838"/>
      <c r="H7" s="828" t="s">
        <v>20</v>
      </c>
      <c r="I7" s="828"/>
      <c r="J7" s="829"/>
    </row>
    <row r="8" spans="1:11" ht="18" customHeight="1" thickTop="1" thickBot="1">
      <c r="A8" s="824">
        <f>'5월17일'!$H$8</f>
        <v>-6176411.993999958</v>
      </c>
      <c r="B8" s="825"/>
      <c r="C8" s="812">
        <f>C36</f>
        <v>298</v>
      </c>
      <c r="D8" s="813"/>
      <c r="E8" s="814"/>
      <c r="F8" s="839">
        <f>H36</f>
        <v>16352058</v>
      </c>
      <c r="G8" s="840"/>
      <c r="H8" s="830">
        <f>SUM(A8:E9)-F8</f>
        <v>-22528171.993999958</v>
      </c>
      <c r="I8" s="830"/>
      <c r="J8" s="831"/>
    </row>
    <row r="9" spans="1:11" ht="22.5" customHeight="1" thickTop="1" thickBot="1">
      <c r="A9" s="826"/>
      <c r="B9" s="827"/>
      <c r="C9" s="815"/>
      <c r="D9" s="816"/>
      <c r="E9" s="817"/>
      <c r="F9" s="841"/>
      <c r="G9" s="842"/>
      <c r="H9" s="832"/>
      <c r="I9" s="832"/>
      <c r="J9" s="833"/>
    </row>
    <row r="10" spans="1:11" ht="18" customHeight="1">
      <c r="A10" s="689"/>
      <c r="B10" s="690"/>
      <c r="C10" s="690"/>
      <c r="D10" s="690"/>
      <c r="E10" s="690"/>
      <c r="F10" s="690"/>
      <c r="G10" s="690"/>
      <c r="H10" s="690"/>
      <c r="I10" s="23"/>
      <c r="J10" s="23"/>
    </row>
    <row r="11" spans="1:11" ht="32.25" customHeight="1" thickBot="1">
      <c r="A11" s="818" t="s">
        <v>21</v>
      </c>
      <c r="B11" s="819"/>
      <c r="C11" s="819"/>
      <c r="D11" s="819"/>
      <c r="E11" s="819"/>
      <c r="F11" s="819"/>
      <c r="G11" s="819"/>
      <c r="H11" s="690"/>
      <c r="I11" s="3"/>
      <c r="J11" s="3"/>
    </row>
    <row r="12" spans="1:11" ht="39.950000000000003" customHeight="1" thickBot="1">
      <c r="A12" s="851" t="s">
        <v>544</v>
      </c>
      <c r="B12" s="852"/>
      <c r="C12" s="852"/>
      <c r="D12" s="852"/>
      <c r="E12" s="853"/>
      <c r="F12" s="851" t="s">
        <v>545</v>
      </c>
      <c r="G12" s="852"/>
      <c r="H12" s="852"/>
      <c r="I12" s="852"/>
      <c r="J12" s="853"/>
    </row>
    <row r="13" spans="1:11" ht="39.950000000000003" customHeight="1" thickBot="1">
      <c r="A13" s="425" t="s">
        <v>24</v>
      </c>
      <c r="B13" s="426" t="s">
        <v>25</v>
      </c>
      <c r="C13" s="427" t="s">
        <v>108</v>
      </c>
      <c r="D13" s="427" t="s">
        <v>27</v>
      </c>
      <c r="E13" s="693" t="s">
        <v>10</v>
      </c>
      <c r="F13" s="425" t="s">
        <v>24</v>
      </c>
      <c r="G13" s="426" t="s">
        <v>25</v>
      </c>
      <c r="H13" s="427" t="s">
        <v>26</v>
      </c>
      <c r="I13" s="427" t="s">
        <v>27</v>
      </c>
      <c r="J13" s="693" t="s">
        <v>10</v>
      </c>
    </row>
    <row r="14" spans="1:11" ht="39.950000000000003" customHeight="1">
      <c r="A14" s="56">
        <v>1</v>
      </c>
      <c r="B14" s="336" t="s">
        <v>342</v>
      </c>
      <c r="C14" s="334">
        <f>298</f>
        <v>298</v>
      </c>
      <c r="D14" s="331">
        <v>44333</v>
      </c>
      <c r="E14" s="344" t="s">
        <v>546</v>
      </c>
      <c r="F14" s="56">
        <v>1</v>
      </c>
      <c r="G14" s="154" t="s">
        <v>100</v>
      </c>
      <c r="H14" s="96">
        <v>11000</v>
      </c>
      <c r="I14" s="430">
        <v>44333</v>
      </c>
      <c r="J14" s="431" t="s">
        <v>253</v>
      </c>
      <c r="K14" s="6"/>
    </row>
    <row r="15" spans="1:11" ht="39.950000000000003" customHeight="1">
      <c r="A15" s="27"/>
      <c r="B15" s="105"/>
      <c r="C15" s="7"/>
      <c r="D15" s="139"/>
      <c r="E15" s="94"/>
      <c r="F15" s="56">
        <v>2</v>
      </c>
      <c r="G15" s="155" t="s">
        <v>547</v>
      </c>
      <c r="H15" s="67">
        <f>579285+15103163</f>
        <v>15682448</v>
      </c>
      <c r="I15" s="356">
        <v>44336</v>
      </c>
      <c r="J15" s="357" t="s">
        <v>35</v>
      </c>
      <c r="K15" s="6"/>
    </row>
    <row r="16" spans="1:11" ht="39.950000000000003" customHeight="1">
      <c r="A16" s="27"/>
      <c r="B16" s="105"/>
      <c r="C16" s="7"/>
      <c r="D16" s="7"/>
      <c r="E16" s="94"/>
      <c r="F16" s="56">
        <v>3</v>
      </c>
      <c r="G16" s="155" t="s">
        <v>548</v>
      </c>
      <c r="H16" s="67">
        <f>2000</f>
        <v>2000</v>
      </c>
      <c r="I16" s="8" t="s">
        <v>35</v>
      </c>
      <c r="J16" s="357" t="s">
        <v>35</v>
      </c>
      <c r="K16" s="6"/>
    </row>
    <row r="17" spans="1:11" ht="39.950000000000003" customHeight="1">
      <c r="A17" s="27"/>
      <c r="B17" s="105"/>
      <c r="C17" s="7"/>
      <c r="D17" s="139"/>
      <c r="E17" s="94"/>
      <c r="F17" s="56">
        <v>4</v>
      </c>
      <c r="G17" s="155" t="s">
        <v>549</v>
      </c>
      <c r="H17" s="67">
        <v>35035</v>
      </c>
      <c r="I17" s="8">
        <v>44337</v>
      </c>
      <c r="J17" s="357" t="s">
        <v>35</v>
      </c>
      <c r="K17" s="6"/>
    </row>
    <row r="18" spans="1:11" ht="39.950000000000003" customHeight="1">
      <c r="A18" s="27"/>
      <c r="B18" s="105"/>
      <c r="C18" s="7"/>
      <c r="D18" s="139"/>
      <c r="E18" s="94"/>
      <c r="F18" s="56">
        <v>5</v>
      </c>
      <c r="G18" s="155" t="s">
        <v>550</v>
      </c>
      <c r="H18" s="19">
        <f>132000</f>
        <v>132000</v>
      </c>
      <c r="I18" s="8" t="s">
        <v>35</v>
      </c>
      <c r="J18" s="357" t="s">
        <v>35</v>
      </c>
      <c r="K18" s="6"/>
    </row>
    <row r="19" spans="1:11" ht="39.950000000000003" customHeight="1">
      <c r="A19" s="27"/>
      <c r="B19" s="105"/>
      <c r="C19" s="7"/>
      <c r="D19" s="139"/>
      <c r="E19" s="94"/>
      <c r="F19" s="56">
        <v>6</v>
      </c>
      <c r="G19" s="155" t="s">
        <v>551</v>
      </c>
      <c r="H19" s="74">
        <v>2000</v>
      </c>
      <c r="I19" s="71">
        <v>44336</v>
      </c>
      <c r="J19" s="344" t="s">
        <v>552</v>
      </c>
      <c r="K19" s="6"/>
    </row>
    <row r="20" spans="1:11" ht="39.950000000000003" customHeight="1">
      <c r="A20" s="27"/>
      <c r="B20" s="105"/>
      <c r="C20" s="7"/>
      <c r="D20" s="7"/>
      <c r="E20" s="94"/>
      <c r="F20" s="56">
        <v>7</v>
      </c>
      <c r="G20" s="359" t="s">
        <v>541</v>
      </c>
      <c r="H20" s="334">
        <v>486575</v>
      </c>
      <c r="I20" s="356">
        <v>44336</v>
      </c>
      <c r="J20" s="357" t="s">
        <v>533</v>
      </c>
      <c r="K20" s="6"/>
    </row>
    <row r="21" spans="1:11" ht="39.950000000000003" customHeight="1">
      <c r="A21" s="27"/>
      <c r="B21" s="10"/>
      <c r="C21" s="19"/>
      <c r="D21" s="7"/>
      <c r="E21" s="94"/>
      <c r="F21" s="52">
        <v>8</v>
      </c>
      <c r="G21" s="219" t="s">
        <v>553</v>
      </c>
      <c r="H21" s="434">
        <f>1000</f>
        <v>1000</v>
      </c>
      <c r="I21" s="435" t="s">
        <v>35</v>
      </c>
      <c r="J21" s="436" t="s">
        <v>35</v>
      </c>
      <c r="K21" s="6"/>
    </row>
    <row r="22" spans="1:11" ht="39.950000000000003" customHeight="1">
      <c r="A22" s="27"/>
      <c r="B22" s="367"/>
      <c r="C22" s="19"/>
      <c r="D22" s="118"/>
      <c r="E22" s="94"/>
      <c r="F22" s="56">
        <v>9</v>
      </c>
      <c r="G22" s="328" t="s">
        <v>554</v>
      </c>
      <c r="H22" s="332">
        <f>3570</f>
        <v>3570</v>
      </c>
      <c r="I22" s="418">
        <v>44333</v>
      </c>
      <c r="J22" s="433" t="s">
        <v>503</v>
      </c>
      <c r="K22" s="6"/>
    </row>
    <row r="23" spans="1:11" ht="39.950000000000003" customHeight="1">
      <c r="A23" s="27"/>
      <c r="B23" s="367"/>
      <c r="C23" s="19"/>
      <c r="D23" s="118"/>
      <c r="E23" s="94"/>
      <c r="F23" s="56">
        <v>10</v>
      </c>
      <c r="G23" s="336" t="s">
        <v>555</v>
      </c>
      <c r="H23" s="335">
        <f>3690</f>
        <v>3690</v>
      </c>
      <c r="I23" s="331">
        <v>44334</v>
      </c>
      <c r="J23" s="344"/>
      <c r="K23" s="6"/>
    </row>
    <row r="24" spans="1:11" ht="39.950000000000003" customHeight="1">
      <c r="A24" s="27"/>
      <c r="B24" s="367"/>
      <c r="C24" s="19"/>
      <c r="D24" s="118"/>
      <c r="E24" s="94"/>
      <c r="F24" s="56">
        <v>11</v>
      </c>
      <c r="G24" s="336" t="s">
        <v>556</v>
      </c>
      <c r="H24" s="335">
        <f>1875060</f>
        <v>1875060</v>
      </c>
      <c r="I24" s="331" t="s">
        <v>35</v>
      </c>
      <c r="J24" s="344"/>
      <c r="K24" s="6"/>
    </row>
    <row r="25" spans="1:11" ht="39.950000000000003" customHeight="1">
      <c r="A25" s="27"/>
      <c r="B25" s="367"/>
      <c r="C25" s="19"/>
      <c r="D25" s="118"/>
      <c r="E25" s="94"/>
      <c r="F25" s="56">
        <v>12</v>
      </c>
      <c r="G25" s="336" t="s">
        <v>557</v>
      </c>
      <c r="H25" s="334">
        <f>80060</f>
        <v>80060</v>
      </c>
      <c r="I25" s="331" t="s">
        <v>35</v>
      </c>
      <c r="J25" s="344"/>
      <c r="K25" s="6"/>
    </row>
    <row r="26" spans="1:11" ht="39.950000000000003" customHeight="1">
      <c r="A26" s="27"/>
      <c r="B26" s="367"/>
      <c r="C26" s="19"/>
      <c r="D26" s="118"/>
      <c r="E26" s="94"/>
      <c r="F26" s="56">
        <v>13</v>
      </c>
      <c r="G26" s="336" t="s">
        <v>558</v>
      </c>
      <c r="H26" s="334">
        <f>16500</f>
        <v>16500</v>
      </c>
      <c r="I26" s="331" t="s">
        <v>35</v>
      </c>
      <c r="J26" s="347"/>
      <c r="K26" s="6"/>
    </row>
    <row r="27" spans="1:11" ht="39.950000000000003" customHeight="1">
      <c r="A27" s="27"/>
      <c r="B27" s="367"/>
      <c r="C27" s="19"/>
      <c r="D27" s="118"/>
      <c r="E27" s="94"/>
      <c r="F27" s="56">
        <v>14</v>
      </c>
      <c r="G27" s="336" t="s">
        <v>559</v>
      </c>
      <c r="H27" s="334">
        <f>261250</f>
        <v>261250</v>
      </c>
      <c r="I27" s="331" t="s">
        <v>35</v>
      </c>
      <c r="J27" s="347"/>
      <c r="K27" s="6"/>
    </row>
    <row r="28" spans="1:11" ht="39.950000000000003" customHeight="1">
      <c r="A28" s="27"/>
      <c r="B28" s="367"/>
      <c r="C28" s="19"/>
      <c r="D28" s="118"/>
      <c r="E28" s="94"/>
      <c r="F28" s="56">
        <v>15</v>
      </c>
      <c r="G28" s="336" t="s">
        <v>560</v>
      </c>
      <c r="H28" s="335">
        <f>3570</f>
        <v>3570</v>
      </c>
      <c r="I28" s="331">
        <v>44336</v>
      </c>
      <c r="J28" s="344"/>
      <c r="K28" s="6"/>
    </row>
    <row r="29" spans="1:11" ht="39.950000000000003" customHeight="1">
      <c r="A29" s="27"/>
      <c r="B29" s="367"/>
      <c r="C29" s="19"/>
      <c r="D29" s="118"/>
      <c r="E29" s="94"/>
      <c r="F29" s="56">
        <v>16</v>
      </c>
      <c r="G29" s="336" t="s">
        <v>558</v>
      </c>
      <c r="H29" s="334">
        <f>16500</f>
        <v>16500</v>
      </c>
      <c r="I29" s="331" t="s">
        <v>35</v>
      </c>
      <c r="J29" s="344"/>
      <c r="K29" s="6"/>
    </row>
    <row r="30" spans="1:11" ht="39.950000000000003" customHeight="1">
      <c r="A30" s="27"/>
      <c r="B30" s="367"/>
      <c r="C30" s="19"/>
      <c r="D30" s="118"/>
      <c r="E30" s="94"/>
      <c r="F30" s="56">
        <v>17</v>
      </c>
      <c r="G30" s="336" t="s">
        <v>561</v>
      </c>
      <c r="H30" s="334">
        <f>21850</f>
        <v>21850</v>
      </c>
      <c r="I30" s="331" t="s">
        <v>35</v>
      </c>
      <c r="J30" s="344"/>
      <c r="K30" s="6"/>
    </row>
    <row r="31" spans="1:11" ht="39.950000000000003" customHeight="1">
      <c r="A31" s="27"/>
      <c r="B31" s="367"/>
      <c r="C31" s="19"/>
      <c r="D31" s="118"/>
      <c r="E31" s="94"/>
      <c r="F31" s="56">
        <v>18</v>
      </c>
      <c r="G31" s="336" t="s">
        <v>562</v>
      </c>
      <c r="H31" s="398">
        <v>-7280</v>
      </c>
      <c r="I31" s="331" t="s">
        <v>35</v>
      </c>
      <c r="J31" s="344" t="s">
        <v>563</v>
      </c>
      <c r="K31" s="6"/>
    </row>
    <row r="32" spans="1:11" ht="39.950000000000003" customHeight="1">
      <c r="A32" s="27"/>
      <c r="B32" s="367"/>
      <c r="C32" s="19"/>
      <c r="D32" s="118"/>
      <c r="E32" s="94"/>
      <c r="F32" s="56">
        <v>19</v>
      </c>
      <c r="G32" s="336" t="s">
        <v>564</v>
      </c>
      <c r="H32" s="343">
        <v>32723</v>
      </c>
      <c r="I32" s="331">
        <v>44337</v>
      </c>
      <c r="J32" s="344"/>
      <c r="K32" s="6"/>
    </row>
    <row r="33" spans="1:11" ht="39.950000000000003" customHeight="1">
      <c r="A33" s="27"/>
      <c r="B33" s="367"/>
      <c r="C33" s="19"/>
      <c r="D33" s="118"/>
      <c r="E33" s="94"/>
      <c r="F33" s="56">
        <v>20</v>
      </c>
      <c r="G33" s="336" t="s">
        <v>565</v>
      </c>
      <c r="H33" s="343">
        <f>2300000</f>
        <v>2300000</v>
      </c>
      <c r="I33" s="331" t="s">
        <v>35</v>
      </c>
      <c r="J33" s="344"/>
      <c r="K33" s="6"/>
    </row>
    <row r="34" spans="1:11" ht="39.950000000000003" customHeight="1">
      <c r="A34" s="27"/>
      <c r="B34" s="367"/>
      <c r="C34" s="19"/>
      <c r="D34" s="118"/>
      <c r="E34" s="94"/>
      <c r="F34" s="56">
        <v>21</v>
      </c>
      <c r="G34" s="336" t="s">
        <v>566</v>
      </c>
      <c r="H34" s="343">
        <f>21850</f>
        <v>21850</v>
      </c>
      <c r="I34" s="331" t="s">
        <v>35</v>
      </c>
      <c r="J34" s="344"/>
      <c r="K34" s="6"/>
    </row>
    <row r="35" spans="1:11" ht="39.950000000000003" customHeight="1" thickBot="1">
      <c r="A35" s="81"/>
      <c r="B35" s="437"/>
      <c r="C35" s="84"/>
      <c r="D35" s="438"/>
      <c r="E35" s="263"/>
      <c r="F35" s="439">
        <v>22</v>
      </c>
      <c r="G35" s="338" t="s">
        <v>567</v>
      </c>
      <c r="H35" s="440">
        <f>99900</f>
        <v>99900</v>
      </c>
      <c r="I35" s="342">
        <v>44339</v>
      </c>
      <c r="J35" s="432"/>
      <c r="K35" s="6"/>
    </row>
    <row r="36" spans="1:11" ht="39.950000000000003" customHeight="1" thickBot="1">
      <c r="A36" s="441"/>
      <c r="B36" s="442" t="s">
        <v>72</v>
      </c>
      <c r="C36" s="443">
        <f>SUM(C14:C35)</f>
        <v>298</v>
      </c>
      <c r="D36" s="444"/>
      <c r="E36" s="445"/>
      <c r="F36" s="446"/>
      <c r="G36" s="442" t="s">
        <v>72</v>
      </c>
      <c r="H36" s="447">
        <f>SUM(H14:H21)</f>
        <v>16352058</v>
      </c>
      <c r="I36" s="448" t="s">
        <v>73</v>
      </c>
      <c r="J36" s="449"/>
    </row>
    <row r="37" spans="1:11" ht="39.950000000000003" customHeight="1" thickBot="1">
      <c r="A37" s="820" t="s">
        <v>74</v>
      </c>
      <c r="B37" s="821"/>
      <c r="C37" s="821"/>
      <c r="D37" s="821"/>
      <c r="E37" s="821"/>
      <c r="F37" s="821"/>
      <c r="G37" s="821"/>
      <c r="H37" s="691"/>
      <c r="I37" s="11"/>
      <c r="J37" s="11"/>
    </row>
    <row r="38" spans="1:11" ht="39.950000000000003" customHeight="1" thickBot="1">
      <c r="A38" s="848" t="s">
        <v>568</v>
      </c>
      <c r="B38" s="849"/>
      <c r="C38" s="849"/>
      <c r="D38" s="849"/>
      <c r="E38" s="850"/>
      <c r="F38" s="851" t="s">
        <v>569</v>
      </c>
      <c r="G38" s="852"/>
      <c r="H38" s="852"/>
      <c r="I38" s="852"/>
      <c r="J38" s="853"/>
    </row>
    <row r="39" spans="1:11" ht="39.950000000000003" customHeight="1" thickBot="1">
      <c r="A39" s="425" t="s">
        <v>24</v>
      </c>
      <c r="B39" s="426" t="s">
        <v>25</v>
      </c>
      <c r="C39" s="427" t="s">
        <v>108</v>
      </c>
      <c r="D39" s="427" t="s">
        <v>27</v>
      </c>
      <c r="E39" s="693" t="s">
        <v>10</v>
      </c>
      <c r="F39" s="451" t="s">
        <v>24</v>
      </c>
      <c r="G39" s="426" t="s">
        <v>25</v>
      </c>
      <c r="H39" s="427" t="s">
        <v>26</v>
      </c>
      <c r="I39" s="427" t="s">
        <v>27</v>
      </c>
      <c r="J39" s="693" t="s">
        <v>10</v>
      </c>
    </row>
    <row r="40" spans="1:11" ht="39.950000000000003" customHeight="1">
      <c r="A40" s="244"/>
      <c r="B40" s="141"/>
      <c r="C40" s="9"/>
      <c r="D40" s="9"/>
      <c r="E40" s="256"/>
      <c r="F40" s="75">
        <v>1</v>
      </c>
      <c r="G40" s="203" t="s">
        <v>570</v>
      </c>
      <c r="H40" s="19">
        <v>341530</v>
      </c>
      <c r="I40" s="71">
        <v>44340</v>
      </c>
      <c r="J40" s="450"/>
    </row>
    <row r="41" spans="1:11" ht="39.950000000000003" customHeight="1">
      <c r="A41" s="191"/>
      <c r="B41" s="105"/>
      <c r="C41" s="7"/>
      <c r="D41" s="7"/>
      <c r="E41" s="94"/>
      <c r="F41" s="75">
        <v>2</v>
      </c>
      <c r="G41" s="155" t="s">
        <v>318</v>
      </c>
      <c r="H41" s="19">
        <f>1180790</f>
        <v>1180790</v>
      </c>
      <c r="I41" s="71" t="s">
        <v>35</v>
      </c>
      <c r="J41" s="357"/>
    </row>
    <row r="42" spans="1:11" ht="39.950000000000003" customHeight="1">
      <c r="A42" s="191"/>
      <c r="B42" s="105"/>
      <c r="C42" s="7"/>
      <c r="D42" s="7"/>
      <c r="E42" s="94"/>
      <c r="F42" s="75">
        <v>3</v>
      </c>
      <c r="G42" s="155" t="s">
        <v>571</v>
      </c>
      <c r="H42" s="19">
        <f>300300</f>
        <v>300300</v>
      </c>
      <c r="I42" s="71">
        <v>44341</v>
      </c>
      <c r="J42" s="357"/>
    </row>
    <row r="43" spans="1:11" ht="39.950000000000003" customHeight="1">
      <c r="A43" s="191"/>
      <c r="B43" s="105"/>
      <c r="C43" s="7"/>
      <c r="D43" s="7"/>
      <c r="E43" s="94"/>
      <c r="F43" s="75">
        <v>4</v>
      </c>
      <c r="G43" s="155" t="s">
        <v>572</v>
      </c>
      <c r="H43" s="19">
        <f>220000</f>
        <v>220000</v>
      </c>
      <c r="I43" s="7" t="s">
        <v>35</v>
      </c>
      <c r="J43" s="357"/>
    </row>
    <row r="44" spans="1:11" ht="39.950000000000003" customHeight="1">
      <c r="A44" s="191"/>
      <c r="B44" s="105"/>
      <c r="C44" s="7"/>
      <c r="D44" s="7"/>
      <c r="E44" s="94"/>
      <c r="F44" s="75">
        <v>5</v>
      </c>
      <c r="G44" s="155" t="s">
        <v>573</v>
      </c>
      <c r="H44" s="19">
        <f>107400</f>
        <v>107400</v>
      </c>
      <c r="I44" s="7" t="s">
        <v>35</v>
      </c>
      <c r="J44" s="431"/>
    </row>
    <row r="45" spans="1:11" ht="39.950000000000003" customHeight="1">
      <c r="A45" s="191"/>
      <c r="B45" s="105"/>
      <c r="C45" s="7"/>
      <c r="D45" s="7"/>
      <c r="E45" s="94"/>
      <c r="F45" s="75">
        <v>6</v>
      </c>
      <c r="G45" s="155" t="s">
        <v>574</v>
      </c>
      <c r="H45" s="19">
        <f>32900</f>
        <v>32900</v>
      </c>
      <c r="I45" s="7" t="s">
        <v>35</v>
      </c>
      <c r="J45" s="357"/>
    </row>
    <row r="46" spans="1:11" ht="39.950000000000003" customHeight="1">
      <c r="A46" s="191"/>
      <c r="B46" s="105"/>
      <c r="C46" s="7"/>
      <c r="D46" s="7"/>
      <c r="E46" s="94"/>
      <c r="F46" s="355">
        <v>7</v>
      </c>
      <c r="G46" s="359" t="s">
        <v>575</v>
      </c>
      <c r="H46" s="343">
        <f>23333330</f>
        <v>23333330</v>
      </c>
      <c r="I46" s="7" t="s">
        <v>35</v>
      </c>
      <c r="J46" s="357"/>
    </row>
    <row r="47" spans="1:11" ht="39.950000000000003" customHeight="1">
      <c r="A47" s="191"/>
      <c r="B47" s="105"/>
      <c r="C47" s="7"/>
      <c r="D47" s="7"/>
      <c r="E47" s="94"/>
      <c r="F47" s="355">
        <v>8</v>
      </c>
      <c r="G47" s="359" t="s">
        <v>576</v>
      </c>
      <c r="H47" s="343">
        <f>460000</f>
        <v>460000</v>
      </c>
      <c r="I47" s="7" t="s">
        <v>35</v>
      </c>
      <c r="J47" s="357"/>
    </row>
    <row r="48" spans="1:11" ht="39.950000000000003" customHeight="1">
      <c r="A48" s="191"/>
      <c r="B48" s="105"/>
      <c r="C48" s="7"/>
      <c r="D48" s="7"/>
      <c r="E48" s="94"/>
      <c r="F48" s="355">
        <v>9</v>
      </c>
      <c r="G48" s="155" t="s">
        <v>491</v>
      </c>
      <c r="H48" s="269">
        <v>10000000</v>
      </c>
      <c r="I48" s="356" t="s">
        <v>140</v>
      </c>
      <c r="J48" s="357"/>
    </row>
    <row r="49" spans="1:10" ht="39.950000000000003" customHeight="1">
      <c r="A49" s="191"/>
      <c r="B49" s="105"/>
      <c r="C49" s="7"/>
      <c r="D49" s="7"/>
      <c r="E49" s="94"/>
      <c r="F49" s="355">
        <v>10</v>
      </c>
      <c r="G49" s="452" t="s">
        <v>493</v>
      </c>
      <c r="H49" s="270">
        <v>50000000</v>
      </c>
      <c r="I49" s="356" t="s">
        <v>35</v>
      </c>
      <c r="J49" s="357"/>
    </row>
    <row r="50" spans="1:10" ht="39.950000000000003" customHeight="1">
      <c r="A50" s="191"/>
      <c r="B50" s="105"/>
      <c r="C50" s="7"/>
      <c r="D50" s="7"/>
      <c r="E50" s="94"/>
      <c r="F50" s="355">
        <v>11</v>
      </c>
      <c r="G50" s="359" t="s">
        <v>577</v>
      </c>
      <c r="H50" s="373">
        <v>30000000</v>
      </c>
      <c r="I50" s="356" t="s">
        <v>35</v>
      </c>
      <c r="J50" s="357"/>
    </row>
    <row r="51" spans="1:10" ht="39.950000000000003" customHeight="1" thickBot="1">
      <c r="A51" s="404"/>
      <c r="B51" s="405"/>
      <c r="C51" s="406"/>
      <c r="D51" s="406"/>
      <c r="E51" s="391"/>
      <c r="F51" s="412">
        <v>12</v>
      </c>
      <c r="G51" s="413" t="s">
        <v>578</v>
      </c>
      <c r="H51" s="401">
        <v>63050000</v>
      </c>
      <c r="I51" s="453" t="s">
        <v>579</v>
      </c>
      <c r="J51" s="415"/>
    </row>
    <row r="52" spans="1:10" ht="39.950000000000003" customHeight="1" thickBot="1">
      <c r="A52" s="231"/>
      <c r="B52" s="232" t="s">
        <v>72</v>
      </c>
      <c r="C52" s="237">
        <f>SUM(C40:C51)</f>
        <v>0</v>
      </c>
      <c r="D52" s="234"/>
      <c r="E52" s="235"/>
      <c r="F52" s="231"/>
      <c r="G52" s="232" t="s">
        <v>72</v>
      </c>
      <c r="H52" s="237">
        <f>SUM(H40:H51)</f>
        <v>179026250</v>
      </c>
      <c r="I52" s="238" t="s">
        <v>73</v>
      </c>
      <c r="J52" s="235"/>
    </row>
  </sheetData>
  <mergeCells count="17">
    <mergeCell ref="A2:J3"/>
    <mergeCell ref="A5:I5"/>
    <mergeCell ref="A6:G6"/>
    <mergeCell ref="A7:B7"/>
    <mergeCell ref="C7:E7"/>
    <mergeCell ref="F7:G7"/>
    <mergeCell ref="H7:J7"/>
    <mergeCell ref="A37:G37"/>
    <mergeCell ref="A38:E38"/>
    <mergeCell ref="F38:J38"/>
    <mergeCell ref="A8:B9"/>
    <mergeCell ref="C8:E9"/>
    <mergeCell ref="F8:G9"/>
    <mergeCell ref="H8:J9"/>
    <mergeCell ref="A11:G11"/>
    <mergeCell ref="A12:E12"/>
    <mergeCell ref="F12:J12"/>
  </mergeCells>
  <phoneticPr fontId="2" type="noConversion"/>
  <pageMargins left="0.19685039370078741" right="0" top="0.39370078740157483" bottom="0" header="0.31496062992125984" footer="0.31496062992125984"/>
  <pageSetup paperSize="9" scale="37" orientation="portrait" r:id="rId1"/>
  <rowBreaks count="1" manualBreakCount="1">
    <brk id="36" min="1" max="10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BEC2F-730A-41AE-925C-8C823F88D1EB}">
  <sheetPr>
    <tabColor rgb="FF0070C0"/>
  </sheetPr>
  <dimension ref="A1:J74"/>
  <sheetViews>
    <sheetView view="pageBreakPreview" topLeftCell="A44" zoomScale="70" zoomScaleNormal="100" zoomScaleSheetLayoutView="70" workbookViewId="0">
      <selection activeCell="D62" sqref="D62"/>
    </sheetView>
  </sheetViews>
  <sheetFormatPr defaultRowHeight="16.5"/>
  <cols>
    <col min="1" max="1" width="4.5" customWidth="1"/>
    <col min="2" max="2" width="54.5" customWidth="1"/>
    <col min="3" max="4" width="17.125" customWidth="1"/>
    <col min="5" max="5" width="23.25" customWidth="1"/>
    <col min="6" max="6" width="4.5" customWidth="1"/>
    <col min="7" max="7" width="62.375" customWidth="1"/>
    <col min="8" max="8" width="17.25" customWidth="1"/>
    <col min="9" max="9" width="17.25" style="13" customWidth="1"/>
    <col min="10" max="10" width="27.5" style="13" customWidth="1"/>
  </cols>
  <sheetData>
    <row r="1" spans="1:10" ht="36.75" customHeight="1"/>
    <row r="2" spans="1:10" ht="21.95" customHeight="1">
      <c r="A2" s="811" t="s">
        <v>14</v>
      </c>
      <c r="B2" s="811"/>
      <c r="C2" s="811"/>
      <c r="D2" s="811"/>
      <c r="E2" s="811"/>
      <c r="F2" s="811"/>
      <c r="G2" s="811"/>
      <c r="H2" s="811"/>
      <c r="I2" s="811"/>
      <c r="J2" s="811"/>
    </row>
    <row r="3" spans="1:10" ht="12" customHeight="1">
      <c r="A3" s="811"/>
      <c r="B3" s="811"/>
      <c r="C3" s="811"/>
      <c r="D3" s="811"/>
      <c r="E3" s="811"/>
      <c r="F3" s="811"/>
      <c r="G3" s="811"/>
      <c r="H3" s="811"/>
      <c r="I3" s="811"/>
      <c r="J3" s="811"/>
    </row>
    <row r="4" spans="1:10" ht="21.75" customHeight="1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ht="18" customHeight="1">
      <c r="A5" s="818" t="s">
        <v>580</v>
      </c>
      <c r="B5" s="818"/>
      <c r="C5" s="818"/>
      <c r="D5" s="818"/>
      <c r="E5" s="818"/>
      <c r="F5" s="818"/>
      <c r="G5" s="818"/>
      <c r="H5" s="818"/>
      <c r="I5" s="818"/>
      <c r="J5" s="689"/>
    </row>
    <row r="6" spans="1:10" ht="18" customHeight="1" thickBot="1">
      <c r="A6" s="818" t="s">
        <v>16</v>
      </c>
      <c r="B6" s="819"/>
      <c r="C6" s="819"/>
      <c r="D6" s="819"/>
      <c r="E6" s="819"/>
      <c r="F6" s="819"/>
      <c r="G6" s="819"/>
      <c r="H6" s="690"/>
      <c r="I6" s="3"/>
      <c r="J6" s="3"/>
    </row>
    <row r="7" spans="1:10" ht="27.75" customHeight="1" thickBot="1">
      <c r="A7" s="843" t="s">
        <v>17</v>
      </c>
      <c r="B7" s="844"/>
      <c r="C7" s="837" t="s">
        <v>18</v>
      </c>
      <c r="D7" s="828"/>
      <c r="E7" s="838"/>
      <c r="F7" s="837" t="s">
        <v>19</v>
      </c>
      <c r="G7" s="838"/>
      <c r="H7" s="828" t="s">
        <v>20</v>
      </c>
      <c r="I7" s="828"/>
      <c r="J7" s="829"/>
    </row>
    <row r="8" spans="1:10" ht="18" customHeight="1" thickTop="1" thickBot="1">
      <c r="A8" s="824">
        <v>-22528171.995000001</v>
      </c>
      <c r="B8" s="825"/>
      <c r="C8" s="812">
        <f>C38</f>
        <v>387477949</v>
      </c>
      <c r="D8" s="813"/>
      <c r="E8" s="814"/>
      <c r="F8" s="839">
        <f>H38</f>
        <v>125490750</v>
      </c>
      <c r="G8" s="840"/>
      <c r="H8" s="830">
        <f>SUM(A8:E9)-F8</f>
        <v>239459027.005</v>
      </c>
      <c r="I8" s="830"/>
      <c r="J8" s="831"/>
    </row>
    <row r="9" spans="1:10" ht="22.5" customHeight="1" thickTop="1" thickBot="1">
      <c r="A9" s="826"/>
      <c r="B9" s="827"/>
      <c r="C9" s="815"/>
      <c r="D9" s="816"/>
      <c r="E9" s="817"/>
      <c r="F9" s="841"/>
      <c r="G9" s="842"/>
      <c r="H9" s="832"/>
      <c r="I9" s="832"/>
      <c r="J9" s="833"/>
    </row>
    <row r="10" spans="1:10" ht="18" customHeight="1">
      <c r="A10" s="689"/>
      <c r="B10" s="690"/>
      <c r="C10" s="690"/>
      <c r="D10" s="690"/>
      <c r="E10" s="690"/>
      <c r="F10" s="690"/>
      <c r="G10" s="690"/>
      <c r="H10" s="690"/>
      <c r="I10" s="23"/>
      <c r="J10" s="23"/>
    </row>
    <row r="11" spans="1:10" ht="32.25" customHeight="1" thickBot="1">
      <c r="A11" s="818" t="s">
        <v>21</v>
      </c>
      <c r="B11" s="819"/>
      <c r="C11" s="819"/>
      <c r="D11" s="819"/>
      <c r="E11" s="819"/>
      <c r="F11" s="819"/>
      <c r="G11" s="819"/>
      <c r="H11" s="690"/>
      <c r="I11" s="3"/>
      <c r="J11" s="3"/>
    </row>
    <row r="12" spans="1:10" ht="39.950000000000003" customHeight="1" thickBot="1">
      <c r="A12" s="861" t="s">
        <v>581</v>
      </c>
      <c r="B12" s="862"/>
      <c r="C12" s="862"/>
      <c r="D12" s="862"/>
      <c r="E12" s="863"/>
      <c r="F12" s="861" t="s">
        <v>582</v>
      </c>
      <c r="G12" s="862"/>
      <c r="H12" s="862"/>
      <c r="I12" s="862"/>
      <c r="J12" s="863"/>
    </row>
    <row r="13" spans="1:10" ht="39.950000000000003" customHeight="1" thickBot="1">
      <c r="A13" s="459" t="s">
        <v>24</v>
      </c>
      <c r="B13" s="460" t="s">
        <v>25</v>
      </c>
      <c r="C13" s="461" t="s">
        <v>108</v>
      </c>
      <c r="D13" s="461" t="s">
        <v>27</v>
      </c>
      <c r="E13" s="696" t="s">
        <v>10</v>
      </c>
      <c r="F13" s="459" t="s">
        <v>24</v>
      </c>
      <c r="G13" s="460" t="s">
        <v>25</v>
      </c>
      <c r="H13" s="461" t="s">
        <v>26</v>
      </c>
      <c r="I13" s="461" t="s">
        <v>27</v>
      </c>
      <c r="J13" s="696" t="s">
        <v>10</v>
      </c>
    </row>
    <row r="14" spans="1:10" ht="39.950000000000003" customHeight="1">
      <c r="A14" s="462">
        <v>1</v>
      </c>
      <c r="B14" s="463" t="s">
        <v>583</v>
      </c>
      <c r="C14" s="464">
        <v>6050000</v>
      </c>
      <c r="D14" s="463" t="s">
        <v>584</v>
      </c>
      <c r="E14" s="465" t="s">
        <v>30</v>
      </c>
      <c r="F14" s="466">
        <v>1</v>
      </c>
      <c r="G14" s="467" t="s">
        <v>585</v>
      </c>
      <c r="H14" s="468">
        <f>500000</f>
        <v>500000</v>
      </c>
      <c r="I14" s="469">
        <v>44340</v>
      </c>
      <c r="J14" s="470" t="s">
        <v>253</v>
      </c>
    </row>
    <row r="15" spans="1:10" ht="39.950000000000003" customHeight="1">
      <c r="A15" s="471">
        <v>2</v>
      </c>
      <c r="B15" s="472" t="s">
        <v>586</v>
      </c>
      <c r="C15" s="473">
        <f>200000000</f>
        <v>200000000</v>
      </c>
      <c r="D15" s="474" t="s">
        <v>35</v>
      </c>
      <c r="E15" s="475" t="s">
        <v>35</v>
      </c>
      <c r="F15" s="466">
        <v>2</v>
      </c>
      <c r="G15" s="476" t="s">
        <v>587</v>
      </c>
      <c r="H15" s="468">
        <f>500000</f>
        <v>500000</v>
      </c>
      <c r="I15" s="469" t="s">
        <v>35</v>
      </c>
      <c r="J15" s="477"/>
    </row>
    <row r="16" spans="1:10" ht="39.950000000000003" customHeight="1">
      <c r="A16" s="471">
        <v>3</v>
      </c>
      <c r="B16" s="472" t="s">
        <v>588</v>
      </c>
      <c r="C16" s="473">
        <v>25277749</v>
      </c>
      <c r="D16" s="474" t="s">
        <v>35</v>
      </c>
      <c r="E16" s="475" t="s">
        <v>35</v>
      </c>
      <c r="F16" s="466">
        <v>3</v>
      </c>
      <c r="G16" s="476" t="s">
        <v>589</v>
      </c>
      <c r="H16" s="468">
        <f>500000</f>
        <v>500000</v>
      </c>
      <c r="I16" s="478" t="s">
        <v>35</v>
      </c>
      <c r="J16" s="477"/>
    </row>
    <row r="17" spans="1:10" ht="39.950000000000003" customHeight="1">
      <c r="A17" s="471">
        <v>4</v>
      </c>
      <c r="B17" s="472" t="s">
        <v>590</v>
      </c>
      <c r="C17" s="473">
        <v>31900000</v>
      </c>
      <c r="D17" s="474" t="s">
        <v>35</v>
      </c>
      <c r="E17" s="475" t="s">
        <v>35</v>
      </c>
      <c r="F17" s="466">
        <v>4</v>
      </c>
      <c r="G17" s="476" t="s">
        <v>318</v>
      </c>
      <c r="H17" s="468">
        <f>1180790</f>
        <v>1180790</v>
      </c>
      <c r="I17" s="469" t="s">
        <v>35</v>
      </c>
      <c r="J17" s="477"/>
    </row>
    <row r="18" spans="1:10" ht="39.950000000000003" customHeight="1">
      <c r="A18" s="479">
        <v>5</v>
      </c>
      <c r="B18" s="480" t="s">
        <v>591</v>
      </c>
      <c r="C18" s="481">
        <f>5200</f>
        <v>5200</v>
      </c>
      <c r="D18" s="482" t="s">
        <v>592</v>
      </c>
      <c r="E18" s="483" t="s">
        <v>35</v>
      </c>
      <c r="F18" s="466">
        <v>5</v>
      </c>
      <c r="G18" s="484" t="s">
        <v>570</v>
      </c>
      <c r="H18" s="485">
        <v>341530</v>
      </c>
      <c r="I18" s="469" t="s">
        <v>35</v>
      </c>
      <c r="J18" s="470"/>
    </row>
    <row r="19" spans="1:10" ht="39.950000000000003" customHeight="1">
      <c r="A19" s="486">
        <v>6</v>
      </c>
      <c r="B19" s="487" t="s">
        <v>593</v>
      </c>
      <c r="C19" s="488">
        <v>108350000</v>
      </c>
      <c r="D19" s="489" t="s">
        <v>35</v>
      </c>
      <c r="E19" s="490" t="s">
        <v>295</v>
      </c>
      <c r="F19" s="466">
        <v>6</v>
      </c>
      <c r="G19" s="476" t="s">
        <v>594</v>
      </c>
      <c r="H19" s="468">
        <v>11000</v>
      </c>
      <c r="I19" s="469" t="s">
        <v>35</v>
      </c>
      <c r="J19" s="470"/>
    </row>
    <row r="20" spans="1:10" ht="39.950000000000003" customHeight="1">
      <c r="A20" s="479">
        <v>7</v>
      </c>
      <c r="B20" s="480" t="s">
        <v>595</v>
      </c>
      <c r="C20" s="481">
        <v>9350000</v>
      </c>
      <c r="D20" s="482" t="s">
        <v>35</v>
      </c>
      <c r="E20" s="483" t="s">
        <v>35</v>
      </c>
      <c r="F20" s="466">
        <v>7</v>
      </c>
      <c r="G20" s="476" t="s">
        <v>596</v>
      </c>
      <c r="H20" s="468">
        <f>6000000</f>
        <v>6000000</v>
      </c>
      <c r="I20" s="469">
        <v>44341</v>
      </c>
      <c r="J20" s="470"/>
    </row>
    <row r="21" spans="1:10" ht="39.950000000000003" customHeight="1">
      <c r="A21" s="491">
        <v>8</v>
      </c>
      <c r="B21" s="487" t="s">
        <v>597</v>
      </c>
      <c r="C21" s="488">
        <v>6545000</v>
      </c>
      <c r="D21" s="492" t="s">
        <v>35</v>
      </c>
      <c r="E21" s="490" t="s">
        <v>92</v>
      </c>
      <c r="F21" s="466">
        <v>8</v>
      </c>
      <c r="G21" s="493" t="s">
        <v>598</v>
      </c>
      <c r="H21" s="494">
        <f>1503500</f>
        <v>1503500</v>
      </c>
      <c r="I21" s="495" t="s">
        <v>35</v>
      </c>
      <c r="J21" s="496"/>
    </row>
    <row r="22" spans="1:10" ht="39.950000000000003" customHeight="1">
      <c r="A22" s="471"/>
      <c r="B22" s="472"/>
      <c r="C22" s="473"/>
      <c r="D22" s="474"/>
      <c r="E22" s="475"/>
      <c r="F22" s="466">
        <v>9</v>
      </c>
      <c r="G22" s="476" t="s">
        <v>550</v>
      </c>
      <c r="H22" s="473">
        <f>300300</f>
        <v>300300</v>
      </c>
      <c r="I22" s="469" t="s">
        <v>35</v>
      </c>
      <c r="J22" s="477"/>
    </row>
    <row r="23" spans="1:10" ht="39.950000000000003" customHeight="1">
      <c r="A23" s="471"/>
      <c r="B23" s="472"/>
      <c r="C23" s="473"/>
      <c r="D23" s="473"/>
      <c r="E23" s="475"/>
      <c r="F23" s="466">
        <v>10</v>
      </c>
      <c r="G23" s="476" t="s">
        <v>572</v>
      </c>
      <c r="H23" s="473">
        <f>220000</f>
        <v>220000</v>
      </c>
      <c r="I23" s="473" t="s">
        <v>35</v>
      </c>
      <c r="J23" s="477"/>
    </row>
    <row r="24" spans="1:10" ht="39.950000000000003" customHeight="1">
      <c r="A24" s="471"/>
      <c r="B24" s="463"/>
      <c r="C24" s="468"/>
      <c r="D24" s="473"/>
      <c r="E24" s="475"/>
      <c r="F24" s="466">
        <v>11</v>
      </c>
      <c r="G24" s="476" t="s">
        <v>599</v>
      </c>
      <c r="H24" s="473">
        <f>107400</f>
        <v>107400</v>
      </c>
      <c r="I24" s="473" t="s">
        <v>35</v>
      </c>
      <c r="J24" s="497"/>
    </row>
    <row r="25" spans="1:10" ht="39.950000000000003" customHeight="1">
      <c r="A25" s="471"/>
      <c r="B25" s="498"/>
      <c r="C25" s="468"/>
      <c r="D25" s="499"/>
      <c r="E25" s="475"/>
      <c r="F25" s="466">
        <v>12</v>
      </c>
      <c r="G25" s="476" t="s">
        <v>574</v>
      </c>
      <c r="H25" s="473">
        <f>32900</f>
        <v>32900</v>
      </c>
      <c r="I25" s="473" t="s">
        <v>35</v>
      </c>
      <c r="J25" s="477"/>
    </row>
    <row r="26" spans="1:10" ht="39.950000000000003" customHeight="1">
      <c r="A26" s="471"/>
      <c r="B26" s="498"/>
      <c r="C26" s="468"/>
      <c r="D26" s="499"/>
      <c r="E26" s="475"/>
      <c r="F26" s="466">
        <v>13</v>
      </c>
      <c r="G26" s="500" t="s">
        <v>575</v>
      </c>
      <c r="H26" s="501">
        <f>23333330</f>
        <v>23333330</v>
      </c>
      <c r="I26" s="473" t="s">
        <v>35</v>
      </c>
      <c r="J26" s="477"/>
    </row>
    <row r="27" spans="1:10" ht="39.950000000000003" customHeight="1">
      <c r="A27" s="471"/>
      <c r="B27" s="498"/>
      <c r="C27" s="468"/>
      <c r="D27" s="499"/>
      <c r="E27" s="475"/>
      <c r="F27" s="466">
        <v>14</v>
      </c>
      <c r="G27" s="500" t="s">
        <v>576</v>
      </c>
      <c r="H27" s="501">
        <f>460000</f>
        <v>460000</v>
      </c>
      <c r="I27" s="473" t="s">
        <v>35</v>
      </c>
      <c r="J27" s="477"/>
    </row>
    <row r="28" spans="1:10" ht="39.950000000000003" customHeight="1">
      <c r="A28" s="471"/>
      <c r="B28" s="498"/>
      <c r="C28" s="468"/>
      <c r="D28" s="499"/>
      <c r="E28" s="475"/>
      <c r="F28" s="466">
        <v>15</v>
      </c>
      <c r="G28" s="476" t="s">
        <v>600</v>
      </c>
      <c r="H28" s="501">
        <v>500000</v>
      </c>
      <c r="I28" s="473" t="s">
        <v>35</v>
      </c>
      <c r="J28" s="477"/>
    </row>
    <row r="29" spans="1:10" ht="39.950000000000003" customHeight="1">
      <c r="A29" s="471"/>
      <c r="B29" s="498"/>
      <c r="C29" s="468"/>
      <c r="D29" s="499"/>
      <c r="E29" s="475"/>
      <c r="F29" s="466">
        <v>16</v>
      </c>
      <c r="G29" s="476" t="s">
        <v>491</v>
      </c>
      <c r="H29" s="502">
        <v>10000000</v>
      </c>
      <c r="I29" s="503">
        <v>44344</v>
      </c>
      <c r="J29" s="477"/>
    </row>
    <row r="30" spans="1:10" ht="39.950000000000003" customHeight="1">
      <c r="A30" s="471"/>
      <c r="B30" s="498"/>
      <c r="C30" s="468"/>
      <c r="D30" s="499"/>
      <c r="E30" s="475"/>
      <c r="F30" s="466">
        <v>17</v>
      </c>
      <c r="G30" s="504" t="s">
        <v>493</v>
      </c>
      <c r="H30" s="505">
        <v>50000000</v>
      </c>
      <c r="I30" s="503" t="s">
        <v>35</v>
      </c>
      <c r="J30" s="477"/>
    </row>
    <row r="31" spans="1:10" ht="39.950000000000003" customHeight="1">
      <c r="A31" s="471"/>
      <c r="B31" s="498"/>
      <c r="C31" s="468"/>
      <c r="D31" s="499"/>
      <c r="E31" s="475"/>
      <c r="F31" s="479">
        <v>18</v>
      </c>
      <c r="G31" s="506" t="s">
        <v>601</v>
      </c>
      <c r="H31" s="507">
        <v>30000000</v>
      </c>
      <c r="I31" s="508" t="s">
        <v>35</v>
      </c>
      <c r="J31" s="509"/>
    </row>
    <row r="32" spans="1:10" ht="39.950000000000003" customHeight="1">
      <c r="A32" s="471"/>
      <c r="B32" s="498"/>
      <c r="C32" s="468"/>
      <c r="D32" s="499"/>
      <c r="E32" s="475"/>
      <c r="F32" s="466">
        <v>19</v>
      </c>
      <c r="G32" s="484" t="s">
        <v>602</v>
      </c>
      <c r="H32" s="488">
        <f>14300</f>
        <v>14300</v>
      </c>
      <c r="I32" s="469">
        <v>44341</v>
      </c>
      <c r="J32" s="510" t="s">
        <v>431</v>
      </c>
    </row>
    <row r="33" spans="1:10" ht="39.950000000000003" customHeight="1">
      <c r="A33" s="471"/>
      <c r="B33" s="498"/>
      <c r="C33" s="468"/>
      <c r="D33" s="499"/>
      <c r="E33" s="475"/>
      <c r="F33" s="466">
        <v>20</v>
      </c>
      <c r="G33" s="476" t="s">
        <v>603</v>
      </c>
      <c r="H33" s="473">
        <f>72000</f>
        <v>72000</v>
      </c>
      <c r="I33" s="478">
        <v>44342</v>
      </c>
      <c r="J33" s="511"/>
    </row>
    <row r="34" spans="1:10" ht="39.950000000000003" customHeight="1">
      <c r="A34" s="471"/>
      <c r="B34" s="498"/>
      <c r="C34" s="468"/>
      <c r="D34" s="499"/>
      <c r="E34" s="475"/>
      <c r="F34" s="466">
        <v>21</v>
      </c>
      <c r="G34" s="476" t="s">
        <v>604</v>
      </c>
      <c r="H34" s="512">
        <f>9000</f>
        <v>9000</v>
      </c>
      <c r="I34" s="478" t="s">
        <v>35</v>
      </c>
      <c r="J34" s="511"/>
    </row>
    <row r="35" spans="1:10" ht="39.950000000000003" customHeight="1">
      <c r="A35" s="471"/>
      <c r="B35" s="498"/>
      <c r="C35" s="468"/>
      <c r="D35" s="499"/>
      <c r="E35" s="475"/>
      <c r="F35" s="466">
        <v>22</v>
      </c>
      <c r="G35" s="476" t="s">
        <v>605</v>
      </c>
      <c r="H35" s="501">
        <f>3690</f>
        <v>3690</v>
      </c>
      <c r="I35" s="478" t="s">
        <v>35</v>
      </c>
      <c r="J35" s="511"/>
    </row>
    <row r="36" spans="1:10" ht="39.950000000000003" customHeight="1">
      <c r="A36" s="471"/>
      <c r="B36" s="498"/>
      <c r="C36" s="468"/>
      <c r="D36" s="499"/>
      <c r="E36" s="475"/>
      <c r="F36" s="466">
        <v>23</v>
      </c>
      <c r="G36" s="476" t="s">
        <v>606</v>
      </c>
      <c r="H36" s="501">
        <f>3690</f>
        <v>3690</v>
      </c>
      <c r="I36" s="478">
        <v>44343</v>
      </c>
      <c r="J36" s="511"/>
    </row>
    <row r="37" spans="1:10" ht="39.950000000000003" customHeight="1" thickBot="1">
      <c r="A37" s="471"/>
      <c r="B37" s="498"/>
      <c r="C37" s="468"/>
      <c r="D37" s="499"/>
      <c r="E37" s="475"/>
      <c r="F37" s="466">
        <v>24</v>
      </c>
      <c r="G37" s="476" t="s">
        <v>607</v>
      </c>
      <c r="H37" s="501">
        <f>109900</f>
        <v>109900</v>
      </c>
      <c r="I37" s="478" t="s">
        <v>35</v>
      </c>
      <c r="J37" s="511"/>
    </row>
    <row r="38" spans="1:10" ht="39.950000000000003" customHeight="1" thickBot="1">
      <c r="A38" s="513"/>
      <c r="B38" s="514" t="s">
        <v>72</v>
      </c>
      <c r="C38" s="515">
        <f>SUM(C14:C37)</f>
        <v>387477949</v>
      </c>
      <c r="D38" s="516"/>
      <c r="E38" s="517"/>
      <c r="F38" s="518"/>
      <c r="G38" s="514" t="s">
        <v>72</v>
      </c>
      <c r="H38" s="519">
        <f>SUM(H14:H31)</f>
        <v>125490750</v>
      </c>
      <c r="I38" s="520" t="s">
        <v>73</v>
      </c>
      <c r="J38" s="521"/>
    </row>
    <row r="39" spans="1:10" ht="39.950000000000003" customHeight="1" thickBot="1">
      <c r="A39" s="856" t="s">
        <v>74</v>
      </c>
      <c r="B39" s="857"/>
      <c r="C39" s="857"/>
      <c r="D39" s="857"/>
      <c r="E39" s="857"/>
      <c r="F39" s="857"/>
      <c r="G39" s="857"/>
      <c r="H39" s="695"/>
      <c r="I39" s="522"/>
      <c r="J39" s="522"/>
    </row>
    <row r="40" spans="1:10" ht="39.950000000000003" customHeight="1" thickBot="1">
      <c r="A40" s="858" t="s">
        <v>608</v>
      </c>
      <c r="B40" s="859"/>
      <c r="C40" s="859"/>
      <c r="D40" s="859"/>
      <c r="E40" s="860"/>
      <c r="F40" s="861" t="s">
        <v>609</v>
      </c>
      <c r="G40" s="862"/>
      <c r="H40" s="862"/>
      <c r="I40" s="862"/>
      <c r="J40" s="863"/>
    </row>
    <row r="41" spans="1:10" ht="39.950000000000003" customHeight="1" thickBot="1">
      <c r="A41" s="459" t="s">
        <v>24</v>
      </c>
      <c r="B41" s="460" t="s">
        <v>25</v>
      </c>
      <c r="C41" s="461" t="s">
        <v>108</v>
      </c>
      <c r="D41" s="461" t="s">
        <v>27</v>
      </c>
      <c r="E41" s="696" t="s">
        <v>10</v>
      </c>
      <c r="F41" s="523" t="s">
        <v>24</v>
      </c>
      <c r="G41" s="460" t="s">
        <v>25</v>
      </c>
      <c r="H41" s="461" t="s">
        <v>26</v>
      </c>
      <c r="I41" s="461" t="s">
        <v>27</v>
      </c>
      <c r="J41" s="696" t="s">
        <v>10</v>
      </c>
    </row>
    <row r="42" spans="1:10" ht="39.950000000000003" customHeight="1">
      <c r="A42" s="491">
        <v>1</v>
      </c>
      <c r="B42" s="487" t="s">
        <v>610</v>
      </c>
      <c r="C42" s="488">
        <v>2860000</v>
      </c>
      <c r="D42" s="492" t="s">
        <v>611</v>
      </c>
      <c r="E42" s="490"/>
      <c r="F42" s="524">
        <v>1</v>
      </c>
      <c r="G42" s="525" t="s">
        <v>612</v>
      </c>
      <c r="H42" s="526">
        <v>6600000</v>
      </c>
      <c r="I42" s="527">
        <v>44346</v>
      </c>
      <c r="J42" s="528" t="s">
        <v>253</v>
      </c>
    </row>
    <row r="43" spans="1:10" ht="39.950000000000003" customHeight="1">
      <c r="A43" s="491">
        <v>2</v>
      </c>
      <c r="B43" s="487" t="s">
        <v>613</v>
      </c>
      <c r="C43" s="488">
        <f>10421771</f>
        <v>10421771</v>
      </c>
      <c r="D43" s="492" t="s">
        <v>35</v>
      </c>
      <c r="E43" s="490"/>
      <c r="F43" s="529">
        <v>2</v>
      </c>
      <c r="G43" s="500" t="s">
        <v>614</v>
      </c>
      <c r="H43" s="530">
        <v>1430036</v>
      </c>
      <c r="I43" s="531" t="s">
        <v>35</v>
      </c>
      <c r="J43" s="477"/>
    </row>
    <row r="44" spans="1:10" ht="39.950000000000003" customHeight="1">
      <c r="A44" s="491">
        <v>3</v>
      </c>
      <c r="B44" s="487" t="s">
        <v>615</v>
      </c>
      <c r="C44" s="488">
        <v>11957000</v>
      </c>
      <c r="D44" s="492" t="s">
        <v>35</v>
      </c>
      <c r="E44" s="490"/>
      <c r="F44" s="529">
        <v>3</v>
      </c>
      <c r="G44" s="500" t="s">
        <v>616</v>
      </c>
      <c r="H44" s="530">
        <f>3686067</f>
        <v>3686067</v>
      </c>
      <c r="I44" s="531" t="s">
        <v>35</v>
      </c>
      <c r="J44" s="477"/>
    </row>
    <row r="45" spans="1:10" ht="39.950000000000003" customHeight="1">
      <c r="A45" s="491">
        <v>4</v>
      </c>
      <c r="B45" s="487" t="s">
        <v>617</v>
      </c>
      <c r="C45" s="488">
        <v>108680000</v>
      </c>
      <c r="D45" s="488" t="s">
        <v>35</v>
      </c>
      <c r="E45" s="490"/>
      <c r="F45" s="529">
        <v>4</v>
      </c>
      <c r="G45" s="500" t="s">
        <v>618</v>
      </c>
      <c r="H45" s="530">
        <f>1228689</f>
        <v>1228689</v>
      </c>
      <c r="I45" s="531" t="s">
        <v>35</v>
      </c>
      <c r="J45" s="477"/>
    </row>
    <row r="46" spans="1:10" ht="39.950000000000003" customHeight="1">
      <c r="A46" s="491">
        <v>5</v>
      </c>
      <c r="B46" s="487" t="s">
        <v>619</v>
      </c>
      <c r="C46" s="488">
        <f>2640000</f>
        <v>2640000</v>
      </c>
      <c r="D46" s="488" t="s">
        <v>35</v>
      </c>
      <c r="E46" s="490"/>
      <c r="F46" s="529">
        <v>5</v>
      </c>
      <c r="G46" s="500" t="s">
        <v>620</v>
      </c>
      <c r="H46" s="530">
        <v>772200</v>
      </c>
      <c r="I46" s="531" t="s">
        <v>35</v>
      </c>
      <c r="J46" s="477"/>
    </row>
    <row r="47" spans="1:10" ht="39.950000000000003" customHeight="1">
      <c r="A47" s="491">
        <v>6</v>
      </c>
      <c r="B47" s="487" t="s">
        <v>621</v>
      </c>
      <c r="C47" s="488">
        <v>93621000</v>
      </c>
      <c r="D47" s="488" t="s">
        <v>35</v>
      </c>
      <c r="E47" s="490"/>
      <c r="F47" s="529">
        <v>6</v>
      </c>
      <c r="G47" s="500" t="s">
        <v>622</v>
      </c>
      <c r="H47" s="530">
        <v>330000</v>
      </c>
      <c r="I47" s="531" t="s">
        <v>35</v>
      </c>
      <c r="J47" s="477" t="s">
        <v>623</v>
      </c>
    </row>
    <row r="48" spans="1:10" ht="39.950000000000003" customHeight="1">
      <c r="A48" s="491">
        <v>7</v>
      </c>
      <c r="B48" s="463" t="s">
        <v>624</v>
      </c>
      <c r="C48" s="468">
        <v>1145000</v>
      </c>
      <c r="D48" s="488" t="s">
        <v>625</v>
      </c>
      <c r="E48" s="490"/>
      <c r="F48" s="529">
        <v>7</v>
      </c>
      <c r="G48" s="500" t="s">
        <v>626</v>
      </c>
      <c r="H48" s="532">
        <v>385000</v>
      </c>
      <c r="I48" s="531" t="s">
        <v>35</v>
      </c>
      <c r="J48" s="477" t="s">
        <v>627</v>
      </c>
    </row>
    <row r="49" spans="1:10" ht="39.950000000000003" customHeight="1">
      <c r="A49" s="491">
        <v>8</v>
      </c>
      <c r="B49" s="487" t="s">
        <v>628</v>
      </c>
      <c r="C49" s="488">
        <v>2200000</v>
      </c>
      <c r="D49" s="488" t="s">
        <v>140</v>
      </c>
      <c r="E49" s="490"/>
      <c r="F49" s="529">
        <v>8</v>
      </c>
      <c r="G49" s="500" t="s">
        <v>629</v>
      </c>
      <c r="H49" s="532">
        <v>9900000</v>
      </c>
      <c r="I49" s="531" t="s">
        <v>35</v>
      </c>
      <c r="J49" s="511"/>
    </row>
    <row r="50" spans="1:10" ht="39.950000000000003" customHeight="1">
      <c r="A50" s="491"/>
      <c r="B50" s="487"/>
      <c r="C50" s="488"/>
      <c r="D50" s="492"/>
      <c r="E50" s="490"/>
      <c r="F50" s="529">
        <v>9</v>
      </c>
      <c r="G50" s="500" t="s">
        <v>630</v>
      </c>
      <c r="H50" s="532">
        <f>660000</f>
        <v>660000</v>
      </c>
      <c r="I50" s="531" t="s">
        <v>35</v>
      </c>
      <c r="J50" s="477"/>
    </row>
    <row r="51" spans="1:10" ht="39.950000000000003" customHeight="1">
      <c r="A51" s="491"/>
      <c r="B51" s="487"/>
      <c r="C51" s="488"/>
      <c r="D51" s="488"/>
      <c r="E51" s="490"/>
      <c r="F51" s="529">
        <v>10</v>
      </c>
      <c r="G51" s="533" t="s">
        <v>631</v>
      </c>
      <c r="H51" s="550">
        <v>3173500</v>
      </c>
      <c r="I51" s="531" t="s">
        <v>35</v>
      </c>
      <c r="J51" s="511"/>
    </row>
    <row r="52" spans="1:10" ht="39.950000000000003" customHeight="1">
      <c r="A52" s="491"/>
      <c r="B52" s="487"/>
      <c r="C52" s="488"/>
      <c r="D52" s="492"/>
      <c r="E52" s="490"/>
      <c r="F52" s="529">
        <v>11</v>
      </c>
      <c r="G52" s="533" t="s">
        <v>632</v>
      </c>
      <c r="H52" s="532">
        <v>1846350</v>
      </c>
      <c r="I52" s="531" t="s">
        <v>35</v>
      </c>
      <c r="J52" s="511"/>
    </row>
    <row r="53" spans="1:10" ht="39.950000000000003" customHeight="1">
      <c r="A53" s="529"/>
      <c r="B53" s="487"/>
      <c r="C53" s="488"/>
      <c r="D53" s="488"/>
      <c r="E53" s="475"/>
      <c r="F53" s="529">
        <v>12</v>
      </c>
      <c r="G53" s="476" t="s">
        <v>633</v>
      </c>
      <c r="H53" s="501">
        <v>3500000</v>
      </c>
      <c r="I53" s="531" t="s">
        <v>35</v>
      </c>
      <c r="J53" s="477"/>
    </row>
    <row r="54" spans="1:10" ht="39.950000000000003" customHeight="1">
      <c r="A54" s="529"/>
      <c r="B54" s="472"/>
      <c r="C54" s="473"/>
      <c r="D54" s="473"/>
      <c r="E54" s="475"/>
      <c r="F54" s="529">
        <v>13</v>
      </c>
      <c r="G54" s="500" t="s">
        <v>152</v>
      </c>
      <c r="H54" s="550">
        <v>233220</v>
      </c>
      <c r="I54" s="531" t="s">
        <v>35</v>
      </c>
      <c r="J54" s="477" t="s">
        <v>634</v>
      </c>
    </row>
    <row r="55" spans="1:10" ht="39.950000000000003" customHeight="1">
      <c r="A55" s="529"/>
      <c r="B55" s="472"/>
      <c r="C55" s="473"/>
      <c r="D55" s="473"/>
      <c r="E55" s="475"/>
      <c r="F55" s="529">
        <v>14</v>
      </c>
      <c r="G55" s="500" t="s">
        <v>635</v>
      </c>
      <c r="H55" s="501">
        <f>63050000-6000000</f>
        <v>57050000</v>
      </c>
      <c r="I55" s="503" t="s">
        <v>35</v>
      </c>
      <c r="J55" s="477"/>
    </row>
    <row r="56" spans="1:10" ht="39.950000000000003" customHeight="1">
      <c r="A56" s="529"/>
      <c r="B56" s="472"/>
      <c r="C56" s="473"/>
      <c r="D56" s="473"/>
      <c r="E56" s="475"/>
      <c r="F56" s="529">
        <v>15</v>
      </c>
      <c r="G56" s="500" t="s">
        <v>636</v>
      </c>
      <c r="H56" s="501">
        <v>3740000</v>
      </c>
      <c r="I56" s="503" t="s">
        <v>35</v>
      </c>
      <c r="J56" s="477"/>
    </row>
    <row r="57" spans="1:10" ht="39.950000000000003" customHeight="1">
      <c r="A57" s="529"/>
      <c r="B57" s="472"/>
      <c r="C57" s="473"/>
      <c r="D57" s="473"/>
      <c r="E57" s="475"/>
      <c r="F57" s="529">
        <v>16</v>
      </c>
      <c r="G57" s="500" t="s">
        <v>637</v>
      </c>
      <c r="H57" s="501">
        <f>1360700</f>
        <v>1360700</v>
      </c>
      <c r="I57" s="503" t="s">
        <v>35</v>
      </c>
      <c r="J57" s="477"/>
    </row>
    <row r="58" spans="1:10" ht="39.950000000000003" customHeight="1">
      <c r="A58" s="529"/>
      <c r="B58" s="472"/>
      <c r="C58" s="473"/>
      <c r="D58" s="473"/>
      <c r="E58" s="475"/>
      <c r="F58" s="529">
        <v>17</v>
      </c>
      <c r="G58" s="500" t="s">
        <v>638</v>
      </c>
      <c r="H58" s="501">
        <v>200000</v>
      </c>
      <c r="I58" s="503" t="s">
        <v>35</v>
      </c>
      <c r="J58" s="477"/>
    </row>
    <row r="59" spans="1:10" ht="39.950000000000003" customHeight="1">
      <c r="A59" s="529"/>
      <c r="B59" s="472"/>
      <c r="C59" s="473"/>
      <c r="D59" s="473"/>
      <c r="E59" s="475"/>
      <c r="F59" s="529">
        <v>18</v>
      </c>
      <c r="G59" s="500" t="s">
        <v>639</v>
      </c>
      <c r="H59" s="501">
        <v>2750000</v>
      </c>
      <c r="I59" s="503"/>
      <c r="J59" s="477"/>
    </row>
    <row r="60" spans="1:10" ht="39.950000000000003" customHeight="1">
      <c r="A60" s="529"/>
      <c r="B60" s="472"/>
      <c r="C60" s="473"/>
      <c r="D60" s="473"/>
      <c r="E60" s="475"/>
      <c r="F60" s="529">
        <v>19</v>
      </c>
      <c r="G60" s="500" t="s">
        <v>151</v>
      </c>
      <c r="H60" s="501">
        <v>4177241</v>
      </c>
      <c r="I60" s="503"/>
      <c r="J60" s="477"/>
    </row>
    <row r="61" spans="1:10" ht="39.950000000000003" customHeight="1">
      <c r="A61" s="529"/>
      <c r="B61" s="472"/>
      <c r="C61" s="473"/>
      <c r="D61" s="473"/>
      <c r="E61" s="475"/>
      <c r="F61" s="491">
        <v>20</v>
      </c>
      <c r="G61" s="534" t="s">
        <v>640</v>
      </c>
      <c r="H61" s="536">
        <f>154800</f>
        <v>154800</v>
      </c>
      <c r="I61" s="537" t="s">
        <v>35</v>
      </c>
      <c r="J61" s="497"/>
    </row>
    <row r="62" spans="1:10" ht="39.950000000000003" customHeight="1">
      <c r="A62" s="529"/>
      <c r="B62" s="472"/>
      <c r="C62" s="473"/>
      <c r="D62" s="473"/>
      <c r="E62" s="475"/>
      <c r="F62" s="529">
        <v>21</v>
      </c>
      <c r="G62" s="500" t="s">
        <v>641</v>
      </c>
      <c r="H62" s="532">
        <f>139100</f>
        <v>139100</v>
      </c>
      <c r="I62" s="531" t="s">
        <v>35</v>
      </c>
      <c r="J62" s="477"/>
    </row>
    <row r="63" spans="1:10" ht="39.950000000000003" customHeight="1">
      <c r="A63" s="529"/>
      <c r="B63" s="472"/>
      <c r="C63" s="473"/>
      <c r="D63" s="473"/>
      <c r="E63" s="475"/>
      <c r="F63" s="529">
        <v>22</v>
      </c>
      <c r="G63" s="500" t="s">
        <v>642</v>
      </c>
      <c r="H63" s="532">
        <f>572000</f>
        <v>572000</v>
      </c>
      <c r="I63" s="531" t="s">
        <v>35</v>
      </c>
      <c r="J63" s="477"/>
    </row>
    <row r="64" spans="1:10" ht="39.950000000000003" customHeight="1">
      <c r="A64" s="529"/>
      <c r="B64" s="472"/>
      <c r="C64" s="473"/>
      <c r="D64" s="473"/>
      <c r="E64" s="475"/>
      <c r="F64" s="529">
        <v>23</v>
      </c>
      <c r="G64" s="500" t="s">
        <v>643</v>
      </c>
      <c r="H64" s="532">
        <f>158400</f>
        <v>158400</v>
      </c>
      <c r="I64" s="531" t="s">
        <v>35</v>
      </c>
      <c r="J64" s="477"/>
    </row>
    <row r="65" spans="1:10" ht="39.950000000000003" customHeight="1">
      <c r="A65" s="529"/>
      <c r="B65" s="472"/>
      <c r="C65" s="473"/>
      <c r="D65" s="473"/>
      <c r="E65" s="475"/>
      <c r="F65" s="529">
        <v>24</v>
      </c>
      <c r="G65" s="500" t="s">
        <v>644</v>
      </c>
      <c r="H65" s="532">
        <f>185150</f>
        <v>185150</v>
      </c>
      <c r="I65" s="531" t="s">
        <v>35</v>
      </c>
      <c r="J65" s="477"/>
    </row>
    <row r="66" spans="1:10" ht="39.950000000000003" customHeight="1">
      <c r="A66" s="529"/>
      <c r="B66" s="472"/>
      <c r="C66" s="473"/>
      <c r="D66" s="473"/>
      <c r="E66" s="475"/>
      <c r="F66" s="529">
        <v>25</v>
      </c>
      <c r="G66" s="500" t="s">
        <v>645</v>
      </c>
      <c r="H66" s="532">
        <f>70400</f>
        <v>70400</v>
      </c>
      <c r="I66" s="531" t="s">
        <v>35</v>
      </c>
      <c r="J66" s="477"/>
    </row>
    <row r="67" spans="1:10" ht="39.950000000000003" customHeight="1">
      <c r="A67" s="529"/>
      <c r="B67" s="472"/>
      <c r="C67" s="473"/>
      <c r="D67" s="473"/>
      <c r="E67" s="475"/>
      <c r="F67" s="529">
        <v>26</v>
      </c>
      <c r="G67" s="500" t="s">
        <v>646</v>
      </c>
      <c r="H67" s="532">
        <f>24000</f>
        <v>24000</v>
      </c>
      <c r="I67" s="531" t="s">
        <v>35</v>
      </c>
      <c r="J67" s="477"/>
    </row>
    <row r="68" spans="1:10" ht="39.950000000000003" customHeight="1">
      <c r="A68" s="529"/>
      <c r="B68" s="472"/>
      <c r="C68" s="473"/>
      <c r="D68" s="473"/>
      <c r="E68" s="475"/>
      <c r="F68" s="529">
        <v>27</v>
      </c>
      <c r="G68" s="500" t="s">
        <v>400</v>
      </c>
      <c r="H68" s="532">
        <f>8000</f>
        <v>8000</v>
      </c>
      <c r="I68" s="531" t="s">
        <v>35</v>
      </c>
      <c r="J68" s="477"/>
    </row>
    <row r="69" spans="1:10" ht="39.950000000000003" customHeight="1">
      <c r="A69" s="529"/>
      <c r="B69" s="472"/>
      <c r="C69" s="473"/>
      <c r="D69" s="473"/>
      <c r="E69" s="475"/>
      <c r="F69" s="535">
        <v>28</v>
      </c>
      <c r="G69" s="506" t="s">
        <v>647</v>
      </c>
      <c r="H69" s="538">
        <f>7400</f>
        <v>7400</v>
      </c>
      <c r="I69" s="539" t="s">
        <v>35</v>
      </c>
      <c r="J69" s="509"/>
    </row>
    <row r="70" spans="1:10" ht="39.950000000000003" customHeight="1">
      <c r="A70" s="529"/>
      <c r="B70" s="472"/>
      <c r="C70" s="473"/>
      <c r="D70" s="473"/>
      <c r="E70" s="475"/>
      <c r="F70" s="491">
        <v>29</v>
      </c>
      <c r="G70" s="534" t="s">
        <v>648</v>
      </c>
      <c r="H70" s="536">
        <f>262800</f>
        <v>262800</v>
      </c>
      <c r="I70" s="537" t="s">
        <v>35</v>
      </c>
      <c r="J70" s="510" t="s">
        <v>429</v>
      </c>
    </row>
    <row r="71" spans="1:10" ht="39.950000000000003" customHeight="1">
      <c r="A71" s="529"/>
      <c r="B71" s="472"/>
      <c r="C71" s="473"/>
      <c r="D71" s="473"/>
      <c r="E71" s="475"/>
      <c r="F71" s="529">
        <v>30</v>
      </c>
      <c r="G71" s="500" t="s">
        <v>649</v>
      </c>
      <c r="H71" s="532">
        <v>229100</v>
      </c>
      <c r="I71" s="531" t="s">
        <v>35</v>
      </c>
      <c r="J71" s="477"/>
    </row>
    <row r="72" spans="1:10" ht="39.950000000000003" customHeight="1">
      <c r="A72" s="529"/>
      <c r="B72" s="472"/>
      <c r="C72" s="473"/>
      <c r="D72" s="473"/>
      <c r="E72" s="475"/>
      <c r="F72" s="529">
        <v>31</v>
      </c>
      <c r="G72" s="476" t="s">
        <v>650</v>
      </c>
      <c r="H72" s="532">
        <v>14807174</v>
      </c>
      <c r="I72" s="531" t="s">
        <v>35</v>
      </c>
      <c r="J72" s="477"/>
    </row>
    <row r="73" spans="1:10" ht="39.950000000000003" customHeight="1" thickBot="1">
      <c r="A73" s="540"/>
      <c r="B73" s="541"/>
      <c r="C73" s="542"/>
      <c r="D73" s="542"/>
      <c r="E73" s="543"/>
      <c r="F73" s="545">
        <v>32</v>
      </c>
      <c r="G73" s="546" t="s">
        <v>651</v>
      </c>
      <c r="H73" s="547">
        <v>277000</v>
      </c>
      <c r="I73" s="548" t="s">
        <v>35</v>
      </c>
      <c r="J73" s="549"/>
    </row>
    <row r="74" spans="1:10" ht="39.950000000000003" customHeight="1" thickBot="1">
      <c r="A74" s="513"/>
      <c r="B74" s="514" t="s">
        <v>72</v>
      </c>
      <c r="C74" s="519">
        <f>SUM(C42:C73)</f>
        <v>233524771</v>
      </c>
      <c r="D74" s="516"/>
      <c r="E74" s="517"/>
      <c r="F74" s="513"/>
      <c r="G74" s="514" t="s">
        <v>72</v>
      </c>
      <c r="H74" s="519">
        <f>SUM(H42:H69)</f>
        <v>104342253</v>
      </c>
      <c r="I74" s="544"/>
      <c r="J74" s="517"/>
    </row>
  </sheetData>
  <mergeCells count="17">
    <mergeCell ref="A2:J3"/>
    <mergeCell ref="A5:I5"/>
    <mergeCell ref="A6:G6"/>
    <mergeCell ref="A7:B7"/>
    <mergeCell ref="C7:E7"/>
    <mergeCell ref="F7:G7"/>
    <mergeCell ref="H7:J7"/>
    <mergeCell ref="A39:G39"/>
    <mergeCell ref="A40:E40"/>
    <mergeCell ref="F40:J40"/>
    <mergeCell ref="A8:B9"/>
    <mergeCell ref="C8:E9"/>
    <mergeCell ref="F8:G9"/>
    <mergeCell ref="H8:J9"/>
    <mergeCell ref="A11:G11"/>
    <mergeCell ref="A12:E12"/>
    <mergeCell ref="F12:J12"/>
  </mergeCells>
  <phoneticPr fontId="2" type="noConversion"/>
  <pageMargins left="0.19685039370078741" right="0" top="0.39370078740157483" bottom="0" header="0.31496062992125984" footer="0.31496062992125984"/>
  <pageSetup paperSize="9" scale="37" orientation="portrait" r:id="rId1"/>
  <rowBreaks count="1" manualBreakCount="1">
    <brk id="38" min="1" max="10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5BDB5-2E2C-40A1-B29F-4774B653CFA8}">
  <sheetPr>
    <tabColor rgb="FF00B0F0"/>
  </sheetPr>
  <dimension ref="A1:K117"/>
  <sheetViews>
    <sheetView view="pageBreakPreview" topLeftCell="A8" zoomScale="70" zoomScaleNormal="100" zoomScaleSheetLayoutView="70" workbookViewId="0">
      <selection activeCell="B17" sqref="B17"/>
    </sheetView>
  </sheetViews>
  <sheetFormatPr defaultRowHeight="16.5"/>
  <cols>
    <col min="1" max="1" width="4.5" customWidth="1"/>
    <col min="2" max="2" width="54.5" customWidth="1"/>
    <col min="3" max="4" width="17.125" customWidth="1"/>
    <col min="5" max="5" width="23.25" customWidth="1"/>
    <col min="6" max="6" width="4.5" customWidth="1"/>
    <col min="7" max="7" width="74.25" customWidth="1"/>
    <col min="8" max="9" width="17.25" customWidth="1"/>
    <col min="10" max="10" width="17.25" style="13" customWidth="1"/>
    <col min="11" max="11" width="27.5" style="13" customWidth="1"/>
  </cols>
  <sheetData>
    <row r="1" spans="1:11" ht="36.75" customHeight="1"/>
    <row r="2" spans="1:11" ht="21.95" customHeight="1">
      <c r="A2" s="811" t="s">
        <v>14</v>
      </c>
      <c r="B2" s="811"/>
      <c r="C2" s="811"/>
      <c r="D2" s="811"/>
      <c r="E2" s="811"/>
      <c r="F2" s="811"/>
      <c r="G2" s="811"/>
      <c r="H2" s="811"/>
      <c r="I2" s="811"/>
      <c r="J2" s="811"/>
      <c r="K2" s="811"/>
    </row>
    <row r="3" spans="1:11" ht="12" customHeight="1">
      <c r="A3" s="811"/>
      <c r="B3" s="811"/>
      <c r="C3" s="811"/>
      <c r="D3" s="811"/>
      <c r="E3" s="811"/>
      <c r="F3" s="811"/>
      <c r="G3" s="811"/>
      <c r="H3" s="811"/>
      <c r="I3" s="811"/>
      <c r="J3" s="811"/>
      <c r="K3" s="811"/>
    </row>
    <row r="4" spans="1:11" ht="21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ht="18" customHeight="1">
      <c r="A5" s="818" t="s">
        <v>652</v>
      </c>
      <c r="B5" s="818"/>
      <c r="C5" s="818"/>
      <c r="D5" s="818"/>
      <c r="E5" s="818"/>
      <c r="F5" s="818"/>
      <c r="G5" s="818"/>
      <c r="H5" s="818"/>
      <c r="I5" s="818"/>
      <c r="J5" s="818"/>
      <c r="K5" s="689"/>
    </row>
    <row r="6" spans="1:11" ht="18" customHeight="1" thickBot="1">
      <c r="A6" s="818" t="s">
        <v>16</v>
      </c>
      <c r="B6" s="819"/>
      <c r="C6" s="819"/>
      <c r="D6" s="819"/>
      <c r="E6" s="819"/>
      <c r="F6" s="819"/>
      <c r="G6" s="819"/>
      <c r="H6" s="690"/>
      <c r="I6" s="690"/>
      <c r="J6" s="3"/>
      <c r="K6" s="3"/>
    </row>
    <row r="7" spans="1:11" ht="27.75" customHeight="1" thickBot="1">
      <c r="A7" s="843" t="s">
        <v>17</v>
      </c>
      <c r="B7" s="844"/>
      <c r="C7" s="837" t="s">
        <v>18</v>
      </c>
      <c r="D7" s="828"/>
      <c r="E7" s="838"/>
      <c r="F7" s="837" t="s">
        <v>19</v>
      </c>
      <c r="G7" s="838"/>
      <c r="H7" s="828" t="s">
        <v>20</v>
      </c>
      <c r="I7" s="828"/>
      <c r="J7" s="828"/>
      <c r="K7" s="829"/>
    </row>
    <row r="8" spans="1:11" ht="18" customHeight="1" thickTop="1" thickBot="1">
      <c r="A8" s="824">
        <v>239459027.005</v>
      </c>
      <c r="B8" s="825"/>
      <c r="C8" s="812">
        <f>C75</f>
        <v>240229755</v>
      </c>
      <c r="D8" s="813"/>
      <c r="E8" s="814"/>
      <c r="F8" s="839">
        <f>H75</f>
        <v>141461450</v>
      </c>
      <c r="G8" s="840"/>
      <c r="H8" s="830">
        <f>SUM(A8:E9)-F8</f>
        <v>338227332.005</v>
      </c>
      <c r="I8" s="830"/>
      <c r="J8" s="830"/>
      <c r="K8" s="831"/>
    </row>
    <row r="9" spans="1:11" ht="22.5" customHeight="1" thickTop="1" thickBot="1">
      <c r="A9" s="826"/>
      <c r="B9" s="827"/>
      <c r="C9" s="815"/>
      <c r="D9" s="816"/>
      <c r="E9" s="817"/>
      <c r="F9" s="841"/>
      <c r="G9" s="842"/>
      <c r="H9" s="832"/>
      <c r="I9" s="832"/>
      <c r="J9" s="832"/>
      <c r="K9" s="833"/>
    </row>
    <row r="10" spans="1:11" ht="18" customHeight="1">
      <c r="A10" s="689"/>
      <c r="B10" s="690"/>
      <c r="C10" s="690"/>
      <c r="D10" s="690"/>
      <c r="E10" s="690"/>
      <c r="F10" s="690"/>
      <c r="G10" s="690"/>
      <c r="H10" s="690"/>
      <c r="I10" s="690"/>
      <c r="J10" s="23"/>
      <c r="K10" s="23"/>
    </row>
    <row r="11" spans="1:11" ht="32.25" customHeight="1" thickBot="1">
      <c r="A11" s="818" t="s">
        <v>21</v>
      </c>
      <c r="B11" s="819"/>
      <c r="C11" s="819"/>
      <c r="D11" s="819"/>
      <c r="E11" s="819"/>
      <c r="F11" s="819"/>
      <c r="G11" s="819"/>
      <c r="H11" s="690"/>
      <c r="I11" s="690"/>
      <c r="J11" s="3"/>
      <c r="K11" s="3"/>
    </row>
    <row r="12" spans="1:11" ht="39.950000000000003" customHeight="1" thickBot="1">
      <c r="A12" s="861" t="s">
        <v>653</v>
      </c>
      <c r="B12" s="862"/>
      <c r="C12" s="862"/>
      <c r="D12" s="862"/>
      <c r="E12" s="863"/>
      <c r="F12" s="861" t="s">
        <v>654</v>
      </c>
      <c r="G12" s="862"/>
      <c r="H12" s="862"/>
      <c r="I12" s="862"/>
      <c r="J12" s="862"/>
      <c r="K12" s="863"/>
    </row>
    <row r="13" spans="1:11" ht="39.950000000000003" customHeight="1" thickBot="1">
      <c r="A13" s="459" t="s">
        <v>24</v>
      </c>
      <c r="B13" s="460" t="s">
        <v>25</v>
      </c>
      <c r="C13" s="461" t="s">
        <v>108</v>
      </c>
      <c r="D13" s="461" t="s">
        <v>27</v>
      </c>
      <c r="E13" s="696" t="s">
        <v>10</v>
      </c>
      <c r="F13" s="459" t="s">
        <v>24</v>
      </c>
      <c r="G13" s="460" t="s">
        <v>25</v>
      </c>
      <c r="H13" s="461" t="s">
        <v>108</v>
      </c>
      <c r="I13" s="461" t="s">
        <v>200</v>
      </c>
      <c r="J13" s="461" t="s">
        <v>655</v>
      </c>
      <c r="K13" s="696" t="s">
        <v>10</v>
      </c>
    </row>
    <row r="14" spans="1:11" ht="39.950000000000003" customHeight="1">
      <c r="A14" s="524">
        <v>1</v>
      </c>
      <c r="B14" s="564" t="s">
        <v>617</v>
      </c>
      <c r="C14" s="565">
        <v>108680000</v>
      </c>
      <c r="D14" s="566" t="s">
        <v>656</v>
      </c>
      <c r="E14" s="567" t="s">
        <v>30</v>
      </c>
      <c r="F14" s="524">
        <v>1</v>
      </c>
      <c r="G14" s="525" t="s">
        <v>612</v>
      </c>
      <c r="H14" s="526">
        <v>6600000</v>
      </c>
      <c r="I14" s="526"/>
      <c r="J14" s="527">
        <v>44346</v>
      </c>
      <c r="K14" s="555" t="s">
        <v>253</v>
      </c>
    </row>
    <row r="15" spans="1:11" ht="39.950000000000003" customHeight="1">
      <c r="A15" s="529">
        <v>2</v>
      </c>
      <c r="B15" s="472" t="s">
        <v>610</v>
      </c>
      <c r="C15" s="473">
        <v>2860000</v>
      </c>
      <c r="D15" s="499" t="s">
        <v>35</v>
      </c>
      <c r="E15" s="475" t="s">
        <v>35</v>
      </c>
      <c r="F15" s="529">
        <v>2</v>
      </c>
      <c r="G15" s="500" t="s">
        <v>614</v>
      </c>
      <c r="H15" s="530">
        <v>1430036</v>
      </c>
      <c r="I15" s="530"/>
      <c r="J15" s="531" t="s">
        <v>35</v>
      </c>
      <c r="K15" s="477"/>
    </row>
    <row r="16" spans="1:11" ht="39.950000000000003" customHeight="1">
      <c r="A16" s="529">
        <v>3</v>
      </c>
      <c r="B16" s="472" t="s">
        <v>621</v>
      </c>
      <c r="C16" s="473">
        <v>93621000</v>
      </c>
      <c r="D16" s="499" t="s">
        <v>35</v>
      </c>
      <c r="E16" s="475" t="s">
        <v>35</v>
      </c>
      <c r="F16" s="529">
        <v>3</v>
      </c>
      <c r="G16" s="500" t="s">
        <v>616</v>
      </c>
      <c r="H16" s="530">
        <f>3686067</f>
        <v>3686067</v>
      </c>
      <c r="I16" s="530"/>
      <c r="J16" s="531" t="s">
        <v>35</v>
      </c>
      <c r="K16" s="477"/>
    </row>
    <row r="17" spans="1:11" ht="39.950000000000003" customHeight="1">
      <c r="A17" s="529">
        <v>4</v>
      </c>
      <c r="B17" s="472" t="s">
        <v>619</v>
      </c>
      <c r="C17" s="473">
        <f>2640000</f>
        <v>2640000</v>
      </c>
      <c r="D17" s="499" t="s">
        <v>35</v>
      </c>
      <c r="E17" s="475" t="s">
        <v>35</v>
      </c>
      <c r="F17" s="529">
        <v>4</v>
      </c>
      <c r="G17" s="500" t="s">
        <v>618</v>
      </c>
      <c r="H17" s="530">
        <f>1228689</f>
        <v>1228689</v>
      </c>
      <c r="I17" s="530"/>
      <c r="J17" s="531" t="s">
        <v>35</v>
      </c>
      <c r="K17" s="477"/>
    </row>
    <row r="18" spans="1:11" ht="39.950000000000003" customHeight="1">
      <c r="A18" s="529">
        <v>5</v>
      </c>
      <c r="B18" s="463" t="s">
        <v>624</v>
      </c>
      <c r="C18" s="473">
        <v>1145000</v>
      </c>
      <c r="D18" s="473" t="s">
        <v>657</v>
      </c>
      <c r="E18" s="475" t="s">
        <v>35</v>
      </c>
      <c r="F18" s="529">
        <v>5</v>
      </c>
      <c r="G18" s="500" t="s">
        <v>620</v>
      </c>
      <c r="H18" s="530">
        <v>772200</v>
      </c>
      <c r="I18" s="530"/>
      <c r="J18" s="531" t="s">
        <v>35</v>
      </c>
      <c r="K18" s="477"/>
    </row>
    <row r="19" spans="1:11" ht="39.950000000000003" customHeight="1">
      <c r="A19" s="529">
        <v>6</v>
      </c>
      <c r="B19" s="463" t="s">
        <v>658</v>
      </c>
      <c r="C19" s="468">
        <v>8712000</v>
      </c>
      <c r="D19" s="463" t="s">
        <v>659</v>
      </c>
      <c r="E19" s="475" t="s">
        <v>35</v>
      </c>
      <c r="F19" s="529">
        <v>6</v>
      </c>
      <c r="G19" s="500" t="s">
        <v>622</v>
      </c>
      <c r="H19" s="530">
        <v>330000</v>
      </c>
      <c r="I19" s="530"/>
      <c r="J19" s="531" t="s">
        <v>35</v>
      </c>
      <c r="K19" s="477" t="s">
        <v>623</v>
      </c>
    </row>
    <row r="20" spans="1:11" ht="39.950000000000003" customHeight="1">
      <c r="A20" s="529">
        <v>7</v>
      </c>
      <c r="B20" s="472" t="s">
        <v>613</v>
      </c>
      <c r="C20" s="473">
        <f>10421771</f>
        <v>10421771</v>
      </c>
      <c r="D20" s="499" t="s">
        <v>656</v>
      </c>
      <c r="E20" s="475" t="s">
        <v>660</v>
      </c>
      <c r="F20" s="529">
        <v>7</v>
      </c>
      <c r="G20" s="500" t="s">
        <v>626</v>
      </c>
      <c r="H20" s="532">
        <v>385000</v>
      </c>
      <c r="I20" s="532"/>
      <c r="J20" s="531" t="s">
        <v>35</v>
      </c>
      <c r="K20" s="477" t="s">
        <v>627</v>
      </c>
    </row>
    <row r="21" spans="1:11" ht="39.950000000000003" customHeight="1">
      <c r="A21" s="529">
        <v>8</v>
      </c>
      <c r="B21" s="472" t="s">
        <v>661</v>
      </c>
      <c r="C21" s="473">
        <v>12149984</v>
      </c>
      <c r="D21" s="499" t="s">
        <v>659</v>
      </c>
      <c r="E21" s="475" t="s">
        <v>417</v>
      </c>
      <c r="F21" s="529">
        <v>8</v>
      </c>
      <c r="G21" s="500" t="s">
        <v>629</v>
      </c>
      <c r="H21" s="532">
        <v>9900000</v>
      </c>
      <c r="I21" s="532"/>
      <c r="J21" s="531" t="s">
        <v>35</v>
      </c>
      <c r="K21" s="511"/>
    </row>
    <row r="22" spans="1:11" ht="39.950000000000003" customHeight="1">
      <c r="A22" s="529"/>
      <c r="B22" s="472"/>
      <c r="C22" s="473"/>
      <c r="D22" s="499"/>
      <c r="E22" s="475"/>
      <c r="F22" s="529">
        <v>9</v>
      </c>
      <c r="G22" s="500" t="s">
        <v>630</v>
      </c>
      <c r="H22" s="532">
        <f>660000</f>
        <v>660000</v>
      </c>
      <c r="I22" s="532"/>
      <c r="J22" s="531" t="s">
        <v>35</v>
      </c>
      <c r="K22" s="477"/>
    </row>
    <row r="23" spans="1:11" ht="39.950000000000003" customHeight="1">
      <c r="A23" s="529"/>
      <c r="B23" s="472"/>
      <c r="C23" s="473"/>
      <c r="D23" s="499"/>
      <c r="E23" s="475"/>
      <c r="F23" s="529">
        <v>10</v>
      </c>
      <c r="G23" s="533" t="s">
        <v>631</v>
      </c>
      <c r="H23" s="550">
        <v>3173500</v>
      </c>
      <c r="I23" s="550"/>
      <c r="J23" s="531" t="s">
        <v>35</v>
      </c>
      <c r="K23" s="511"/>
    </row>
    <row r="24" spans="1:11" ht="39.950000000000003" customHeight="1">
      <c r="A24" s="529"/>
      <c r="B24" s="472"/>
      <c r="C24" s="473"/>
      <c r="D24" s="499"/>
      <c r="E24" s="475"/>
      <c r="F24" s="529">
        <v>11</v>
      </c>
      <c r="G24" s="533" t="s">
        <v>632</v>
      </c>
      <c r="H24" s="532">
        <v>1846350</v>
      </c>
      <c r="I24" s="532"/>
      <c r="J24" s="531" t="s">
        <v>35</v>
      </c>
      <c r="K24" s="511"/>
    </row>
    <row r="25" spans="1:11" ht="39.950000000000003" customHeight="1">
      <c r="A25" s="529"/>
      <c r="B25" s="472"/>
      <c r="C25" s="473"/>
      <c r="D25" s="473"/>
      <c r="E25" s="475"/>
      <c r="F25" s="529">
        <v>12</v>
      </c>
      <c r="G25" s="500" t="s">
        <v>633</v>
      </c>
      <c r="H25" s="501">
        <v>3500000</v>
      </c>
      <c r="I25" s="501"/>
      <c r="J25" s="531" t="s">
        <v>35</v>
      </c>
      <c r="K25" s="477" t="s">
        <v>531</v>
      </c>
    </row>
    <row r="26" spans="1:11" ht="39.950000000000003" customHeight="1">
      <c r="A26" s="529"/>
      <c r="B26" s="472"/>
      <c r="C26" s="473"/>
      <c r="D26" s="473"/>
      <c r="E26" s="475"/>
      <c r="F26" s="529">
        <v>13</v>
      </c>
      <c r="G26" s="500" t="s">
        <v>152</v>
      </c>
      <c r="H26" s="550">
        <v>233220</v>
      </c>
      <c r="I26" s="550"/>
      <c r="J26" s="531" t="s">
        <v>35</v>
      </c>
      <c r="K26" s="477"/>
    </row>
    <row r="27" spans="1:11" ht="39.950000000000003" customHeight="1">
      <c r="A27" s="529"/>
      <c r="B27" s="472"/>
      <c r="C27" s="473"/>
      <c r="D27" s="473"/>
      <c r="E27" s="475"/>
      <c r="F27" s="529">
        <v>14</v>
      </c>
      <c r="G27" s="500" t="s">
        <v>635</v>
      </c>
      <c r="H27" s="501">
        <f>63050000-6000000</f>
        <v>57050000</v>
      </c>
      <c r="I27" s="501"/>
      <c r="J27" s="503" t="s">
        <v>35</v>
      </c>
      <c r="K27" s="477"/>
    </row>
    <row r="28" spans="1:11" ht="39.950000000000003" customHeight="1">
      <c r="A28" s="529"/>
      <c r="B28" s="472"/>
      <c r="C28" s="473"/>
      <c r="D28" s="473"/>
      <c r="E28" s="475"/>
      <c r="F28" s="529">
        <v>15</v>
      </c>
      <c r="G28" s="500" t="s">
        <v>636</v>
      </c>
      <c r="H28" s="501">
        <v>3740000</v>
      </c>
      <c r="I28" s="501"/>
      <c r="J28" s="503" t="s">
        <v>35</v>
      </c>
      <c r="K28" s="477"/>
    </row>
    <row r="29" spans="1:11" ht="39.950000000000003" customHeight="1">
      <c r="A29" s="529"/>
      <c r="B29" s="472"/>
      <c r="C29" s="473"/>
      <c r="D29" s="473"/>
      <c r="E29" s="475"/>
      <c r="F29" s="529">
        <v>16</v>
      </c>
      <c r="G29" s="500" t="s">
        <v>637</v>
      </c>
      <c r="H29" s="501">
        <f>1360700</f>
        <v>1360700</v>
      </c>
      <c r="I29" s="501"/>
      <c r="J29" s="503" t="s">
        <v>35</v>
      </c>
      <c r="K29" s="477"/>
    </row>
    <row r="30" spans="1:11" ht="39.950000000000003" customHeight="1">
      <c r="A30" s="529"/>
      <c r="B30" s="472"/>
      <c r="C30" s="473"/>
      <c r="D30" s="473"/>
      <c r="E30" s="475"/>
      <c r="F30" s="529">
        <v>17</v>
      </c>
      <c r="G30" s="500" t="s">
        <v>638</v>
      </c>
      <c r="H30" s="501">
        <v>200000</v>
      </c>
      <c r="I30" s="501"/>
      <c r="J30" s="503" t="s">
        <v>35</v>
      </c>
      <c r="K30" s="477"/>
    </row>
    <row r="31" spans="1:11" ht="39.950000000000003" customHeight="1">
      <c r="A31" s="529"/>
      <c r="B31" s="472"/>
      <c r="C31" s="473"/>
      <c r="D31" s="473"/>
      <c r="E31" s="475"/>
      <c r="F31" s="529">
        <v>18</v>
      </c>
      <c r="G31" s="500" t="s">
        <v>639</v>
      </c>
      <c r="H31" s="501">
        <v>2750000</v>
      </c>
      <c r="I31" s="501"/>
      <c r="J31" s="503" t="s">
        <v>35</v>
      </c>
      <c r="K31" s="477"/>
    </row>
    <row r="32" spans="1:11" ht="39.950000000000003" customHeight="1">
      <c r="A32" s="529"/>
      <c r="B32" s="472"/>
      <c r="C32" s="473"/>
      <c r="D32" s="473"/>
      <c r="E32" s="475"/>
      <c r="F32" s="529">
        <v>19</v>
      </c>
      <c r="G32" s="500" t="s">
        <v>151</v>
      </c>
      <c r="H32" s="501">
        <v>4177241</v>
      </c>
      <c r="I32" s="501"/>
      <c r="J32" s="503">
        <v>44348</v>
      </c>
      <c r="K32" s="477" t="s">
        <v>662</v>
      </c>
    </row>
    <row r="33" spans="1:11" ht="39.950000000000003" customHeight="1">
      <c r="A33" s="529"/>
      <c r="B33" s="472"/>
      <c r="C33" s="473"/>
      <c r="D33" s="473"/>
      <c r="E33" s="475"/>
      <c r="F33" s="529">
        <v>20</v>
      </c>
      <c r="G33" s="500" t="s">
        <v>640</v>
      </c>
      <c r="H33" s="532">
        <f>154800</f>
        <v>154800</v>
      </c>
      <c r="I33" s="532"/>
      <c r="J33" s="503">
        <v>44347</v>
      </c>
      <c r="K33" s="477" t="s">
        <v>35</v>
      </c>
    </row>
    <row r="34" spans="1:11" ht="39.950000000000003" customHeight="1">
      <c r="A34" s="529"/>
      <c r="B34" s="472"/>
      <c r="C34" s="473"/>
      <c r="D34" s="473"/>
      <c r="E34" s="475"/>
      <c r="F34" s="529">
        <v>21</v>
      </c>
      <c r="G34" s="500" t="s">
        <v>641</v>
      </c>
      <c r="H34" s="532">
        <f>139100</f>
        <v>139100</v>
      </c>
      <c r="I34" s="532"/>
      <c r="J34" s="531" t="s">
        <v>35</v>
      </c>
      <c r="K34" s="477" t="s">
        <v>37</v>
      </c>
    </row>
    <row r="35" spans="1:11" ht="39.950000000000003" customHeight="1">
      <c r="A35" s="529"/>
      <c r="B35" s="472"/>
      <c r="C35" s="473"/>
      <c r="D35" s="473"/>
      <c r="E35" s="475"/>
      <c r="F35" s="529">
        <v>22</v>
      </c>
      <c r="G35" s="500" t="s">
        <v>642</v>
      </c>
      <c r="H35" s="532">
        <f>572000</f>
        <v>572000</v>
      </c>
      <c r="I35" s="532"/>
      <c r="J35" s="531" t="s">
        <v>35</v>
      </c>
      <c r="K35" s="477" t="s">
        <v>35</v>
      </c>
    </row>
    <row r="36" spans="1:11" ht="39.950000000000003" customHeight="1">
      <c r="A36" s="529"/>
      <c r="B36" s="472"/>
      <c r="C36" s="473"/>
      <c r="D36" s="473"/>
      <c r="E36" s="475"/>
      <c r="F36" s="529">
        <v>23</v>
      </c>
      <c r="G36" s="500" t="s">
        <v>643</v>
      </c>
      <c r="H36" s="532">
        <f>158400</f>
        <v>158400</v>
      </c>
      <c r="I36" s="532"/>
      <c r="J36" s="531" t="s">
        <v>35</v>
      </c>
      <c r="K36" s="477" t="s">
        <v>35</v>
      </c>
    </row>
    <row r="37" spans="1:11" ht="39.950000000000003" customHeight="1">
      <c r="A37" s="529"/>
      <c r="B37" s="472"/>
      <c r="C37" s="473"/>
      <c r="D37" s="473"/>
      <c r="E37" s="475"/>
      <c r="F37" s="529">
        <v>24</v>
      </c>
      <c r="G37" s="500" t="s">
        <v>644</v>
      </c>
      <c r="H37" s="532">
        <f>185150</f>
        <v>185150</v>
      </c>
      <c r="I37" s="532"/>
      <c r="J37" s="531" t="s">
        <v>35</v>
      </c>
      <c r="K37" s="477" t="s">
        <v>35</v>
      </c>
    </row>
    <row r="38" spans="1:11" ht="39.950000000000003" customHeight="1">
      <c r="A38" s="529"/>
      <c r="B38" s="472"/>
      <c r="C38" s="473"/>
      <c r="D38" s="473"/>
      <c r="E38" s="475"/>
      <c r="F38" s="529">
        <v>25</v>
      </c>
      <c r="G38" s="500" t="s">
        <v>645</v>
      </c>
      <c r="H38" s="532">
        <f>70400</f>
        <v>70400</v>
      </c>
      <c r="I38" s="532"/>
      <c r="J38" s="531" t="s">
        <v>35</v>
      </c>
      <c r="K38" s="477" t="s">
        <v>37</v>
      </c>
    </row>
    <row r="39" spans="1:11" ht="39.950000000000003" customHeight="1">
      <c r="A39" s="529"/>
      <c r="B39" s="472"/>
      <c r="C39" s="473"/>
      <c r="D39" s="473"/>
      <c r="E39" s="475"/>
      <c r="F39" s="529">
        <v>26</v>
      </c>
      <c r="G39" s="500" t="s">
        <v>646</v>
      </c>
      <c r="H39" s="532">
        <f>24000</f>
        <v>24000</v>
      </c>
      <c r="I39" s="532"/>
      <c r="J39" s="531" t="s">
        <v>35</v>
      </c>
      <c r="K39" s="477" t="s">
        <v>35</v>
      </c>
    </row>
    <row r="40" spans="1:11" ht="39.950000000000003" customHeight="1">
      <c r="A40" s="529"/>
      <c r="B40" s="472"/>
      <c r="C40" s="473"/>
      <c r="D40" s="473"/>
      <c r="E40" s="475"/>
      <c r="F40" s="529">
        <v>27</v>
      </c>
      <c r="G40" s="500" t="s">
        <v>400</v>
      </c>
      <c r="H40" s="532">
        <f>8000</f>
        <v>8000</v>
      </c>
      <c r="I40" s="532"/>
      <c r="J40" s="531" t="s">
        <v>35</v>
      </c>
      <c r="K40" s="477" t="s">
        <v>35</v>
      </c>
    </row>
    <row r="41" spans="1:11" ht="39.950000000000003" customHeight="1">
      <c r="A41" s="529"/>
      <c r="B41" s="472"/>
      <c r="C41" s="473"/>
      <c r="D41" s="473"/>
      <c r="E41" s="475"/>
      <c r="F41" s="529">
        <v>28</v>
      </c>
      <c r="G41" s="500" t="s">
        <v>647</v>
      </c>
      <c r="H41" s="532">
        <f>7400</f>
        <v>7400</v>
      </c>
      <c r="I41" s="532"/>
      <c r="J41" s="531" t="s">
        <v>35</v>
      </c>
      <c r="K41" s="477" t="s">
        <v>35</v>
      </c>
    </row>
    <row r="42" spans="1:11" ht="39.950000000000003" customHeight="1">
      <c r="A42" s="529"/>
      <c r="B42" s="472"/>
      <c r="C42" s="473"/>
      <c r="D42" s="473"/>
      <c r="E42" s="475"/>
      <c r="F42" s="529">
        <v>29</v>
      </c>
      <c r="G42" s="500" t="s">
        <v>663</v>
      </c>
      <c r="H42" s="532">
        <v>20000000</v>
      </c>
      <c r="I42" s="532"/>
      <c r="J42" s="531" t="s">
        <v>35</v>
      </c>
      <c r="K42" s="477" t="s">
        <v>35</v>
      </c>
    </row>
    <row r="43" spans="1:11" ht="39.950000000000003" customHeight="1">
      <c r="A43" s="529"/>
      <c r="B43" s="472"/>
      <c r="C43" s="473"/>
      <c r="D43" s="473"/>
      <c r="E43" s="475"/>
      <c r="F43" s="529">
        <v>30</v>
      </c>
      <c r="G43" s="500" t="s">
        <v>664</v>
      </c>
      <c r="H43" s="532">
        <f>16584685</f>
        <v>16584685</v>
      </c>
      <c r="I43" s="532"/>
      <c r="J43" s="503">
        <v>44351</v>
      </c>
      <c r="K43" s="477" t="s">
        <v>35</v>
      </c>
    </row>
    <row r="44" spans="1:11" ht="39.950000000000003" customHeight="1">
      <c r="A44" s="529"/>
      <c r="B44" s="472"/>
      <c r="C44" s="473"/>
      <c r="D44" s="473"/>
      <c r="E44" s="475"/>
      <c r="F44" s="529">
        <v>31</v>
      </c>
      <c r="G44" s="500" t="s">
        <v>665</v>
      </c>
      <c r="H44" s="532">
        <f>500000</f>
        <v>500000</v>
      </c>
      <c r="I44" s="532"/>
      <c r="J44" s="531" t="s">
        <v>35</v>
      </c>
      <c r="K44" s="477" t="s">
        <v>35</v>
      </c>
    </row>
    <row r="45" spans="1:11" ht="39.950000000000003" customHeight="1">
      <c r="A45" s="529"/>
      <c r="B45" s="472"/>
      <c r="C45" s="473"/>
      <c r="D45" s="473"/>
      <c r="E45" s="475"/>
      <c r="F45" s="535">
        <v>32</v>
      </c>
      <c r="G45" s="506" t="s">
        <v>666</v>
      </c>
      <c r="H45" s="538">
        <v>34512</v>
      </c>
      <c r="I45" s="538"/>
      <c r="J45" s="508">
        <v>44352</v>
      </c>
      <c r="K45" s="509" t="s">
        <v>35</v>
      </c>
    </row>
    <row r="46" spans="1:11" ht="39.950000000000003" customHeight="1">
      <c r="A46" s="529"/>
      <c r="B46" s="472"/>
      <c r="C46" s="473"/>
      <c r="D46" s="473"/>
      <c r="E46" s="475"/>
      <c r="F46" s="491">
        <v>33</v>
      </c>
      <c r="G46" s="534" t="s">
        <v>648</v>
      </c>
      <c r="H46" s="536">
        <f>262800</f>
        <v>262800</v>
      </c>
      <c r="I46" s="536"/>
      <c r="J46" s="537" t="s">
        <v>35</v>
      </c>
      <c r="K46" s="510" t="s">
        <v>429</v>
      </c>
    </row>
    <row r="47" spans="1:11" ht="39.950000000000003" customHeight="1">
      <c r="A47" s="529"/>
      <c r="B47" s="472"/>
      <c r="C47" s="473"/>
      <c r="D47" s="473"/>
      <c r="E47" s="475"/>
      <c r="F47" s="529">
        <v>34</v>
      </c>
      <c r="G47" s="500" t="s">
        <v>649</v>
      </c>
      <c r="H47" s="532">
        <v>229100</v>
      </c>
      <c r="I47" s="532"/>
      <c r="J47" s="531" t="s">
        <v>35</v>
      </c>
      <c r="K47" s="477" t="s">
        <v>35</v>
      </c>
    </row>
    <row r="48" spans="1:11" ht="39.950000000000003" customHeight="1">
      <c r="A48" s="529"/>
      <c r="B48" s="472"/>
      <c r="C48" s="473"/>
      <c r="D48" s="473"/>
      <c r="E48" s="475"/>
      <c r="F48" s="529">
        <v>35</v>
      </c>
      <c r="G48" s="476" t="s">
        <v>650</v>
      </c>
      <c r="H48" s="532">
        <v>14807174</v>
      </c>
      <c r="I48" s="532"/>
      <c r="J48" s="531" t="s">
        <v>35</v>
      </c>
      <c r="K48" s="477" t="s">
        <v>35</v>
      </c>
    </row>
    <row r="49" spans="1:11" ht="39.950000000000003" customHeight="1">
      <c r="A49" s="529"/>
      <c r="B49" s="472"/>
      <c r="C49" s="473"/>
      <c r="D49" s="473"/>
      <c r="E49" s="475"/>
      <c r="F49" s="535">
        <v>36</v>
      </c>
      <c r="G49" s="559" t="s">
        <v>651</v>
      </c>
      <c r="H49" s="538">
        <v>277000</v>
      </c>
      <c r="I49" s="538"/>
      <c r="J49" s="553" t="s">
        <v>35</v>
      </c>
      <c r="K49" s="560" t="s">
        <v>579</v>
      </c>
    </row>
    <row r="50" spans="1:11" ht="39.950000000000003" customHeight="1">
      <c r="A50" s="529"/>
      <c r="B50" s="472"/>
      <c r="C50" s="473"/>
      <c r="D50" s="473"/>
      <c r="E50" s="475"/>
      <c r="F50" s="491">
        <v>37</v>
      </c>
      <c r="G50" s="484" t="s">
        <v>667</v>
      </c>
      <c r="H50" s="536">
        <f>16500</f>
        <v>16500</v>
      </c>
      <c r="I50" s="536"/>
      <c r="J50" s="569">
        <v>44347</v>
      </c>
      <c r="K50" s="568" t="s">
        <v>668</v>
      </c>
    </row>
    <row r="51" spans="1:11" ht="39.950000000000003" customHeight="1">
      <c r="A51" s="529"/>
      <c r="B51" s="472"/>
      <c r="C51" s="473"/>
      <c r="D51" s="473"/>
      <c r="E51" s="475"/>
      <c r="F51" s="529">
        <v>38</v>
      </c>
      <c r="G51" s="476" t="s">
        <v>669</v>
      </c>
      <c r="H51" s="532">
        <f>29700</f>
        <v>29700</v>
      </c>
      <c r="I51" s="532"/>
      <c r="J51" s="531" t="s">
        <v>35</v>
      </c>
      <c r="K51" s="563" t="s">
        <v>35</v>
      </c>
    </row>
    <row r="52" spans="1:11" ht="39.950000000000003" customHeight="1">
      <c r="A52" s="529"/>
      <c r="B52" s="472"/>
      <c r="C52" s="473"/>
      <c r="D52" s="473"/>
      <c r="E52" s="475"/>
      <c r="F52" s="529">
        <v>39</v>
      </c>
      <c r="G52" s="476" t="s">
        <v>670</v>
      </c>
      <c r="H52" s="532">
        <f>21850</f>
        <v>21850</v>
      </c>
      <c r="I52" s="532"/>
      <c r="J52" s="531" t="s">
        <v>35</v>
      </c>
      <c r="K52" s="563" t="s">
        <v>35</v>
      </c>
    </row>
    <row r="53" spans="1:11" ht="39.950000000000003" customHeight="1">
      <c r="A53" s="529"/>
      <c r="B53" s="472"/>
      <c r="C53" s="473"/>
      <c r="D53" s="473"/>
      <c r="E53" s="475"/>
      <c r="F53" s="529">
        <v>40</v>
      </c>
      <c r="G53" s="476" t="s">
        <v>671</v>
      </c>
      <c r="H53" s="532">
        <f>49300</f>
        <v>49300</v>
      </c>
      <c r="I53" s="532"/>
      <c r="J53" s="531" t="s">
        <v>35</v>
      </c>
      <c r="K53" s="563" t="s">
        <v>35</v>
      </c>
    </row>
    <row r="54" spans="1:11" ht="39.950000000000003" customHeight="1">
      <c r="A54" s="529"/>
      <c r="B54" s="472"/>
      <c r="C54" s="473"/>
      <c r="D54" s="473"/>
      <c r="E54" s="475"/>
      <c r="F54" s="529">
        <v>41</v>
      </c>
      <c r="G54" s="476" t="s">
        <v>672</v>
      </c>
      <c r="H54" s="532">
        <f>58040</f>
        <v>58040</v>
      </c>
      <c r="I54" s="532"/>
      <c r="J54" s="531" t="s">
        <v>35</v>
      </c>
      <c r="K54" s="563" t="s">
        <v>35</v>
      </c>
    </row>
    <row r="55" spans="1:11" ht="39.950000000000003" customHeight="1">
      <c r="A55" s="529"/>
      <c r="B55" s="472"/>
      <c r="C55" s="473"/>
      <c r="D55" s="473"/>
      <c r="E55" s="475"/>
      <c r="F55" s="529">
        <v>42</v>
      </c>
      <c r="G55" s="476" t="s">
        <v>673</v>
      </c>
      <c r="H55" s="532">
        <f>5500</f>
        <v>5500</v>
      </c>
      <c r="I55" s="532"/>
      <c r="J55" s="531" t="s">
        <v>35</v>
      </c>
      <c r="K55" s="563" t="s">
        <v>35</v>
      </c>
    </row>
    <row r="56" spans="1:11" ht="39.950000000000003" customHeight="1">
      <c r="A56" s="529"/>
      <c r="B56" s="472"/>
      <c r="C56" s="473"/>
      <c r="D56" s="473"/>
      <c r="E56" s="475"/>
      <c r="F56" s="529">
        <v>43</v>
      </c>
      <c r="G56" s="476" t="s">
        <v>674</v>
      </c>
      <c r="H56" s="532">
        <f>2420000</f>
        <v>2420000</v>
      </c>
      <c r="I56" s="532"/>
      <c r="J56" s="531" t="s">
        <v>35</v>
      </c>
      <c r="K56" s="563" t="s">
        <v>35</v>
      </c>
    </row>
    <row r="57" spans="1:11" ht="39.950000000000003" customHeight="1">
      <c r="A57" s="529"/>
      <c r="B57" s="472"/>
      <c r="C57" s="473"/>
      <c r="D57" s="473"/>
      <c r="E57" s="475"/>
      <c r="F57" s="529">
        <v>44</v>
      </c>
      <c r="G57" s="476" t="s">
        <v>356</v>
      </c>
      <c r="H57" s="532">
        <f>3930</f>
        <v>3930</v>
      </c>
      <c r="I57" s="532"/>
      <c r="J57" s="553" t="s">
        <v>35</v>
      </c>
      <c r="K57" s="563" t="s">
        <v>35</v>
      </c>
    </row>
    <row r="58" spans="1:11" ht="39.950000000000003" customHeight="1">
      <c r="A58" s="529"/>
      <c r="B58" s="472"/>
      <c r="C58" s="473"/>
      <c r="D58" s="473"/>
      <c r="E58" s="475"/>
      <c r="F58" s="529">
        <v>45</v>
      </c>
      <c r="G58" s="476" t="s">
        <v>675</v>
      </c>
      <c r="H58" s="532">
        <f>27500</f>
        <v>27500</v>
      </c>
      <c r="I58" s="532"/>
      <c r="J58" s="503">
        <v>44348</v>
      </c>
      <c r="K58" s="563" t="s">
        <v>35</v>
      </c>
    </row>
    <row r="59" spans="1:11" ht="39.950000000000003" customHeight="1">
      <c r="A59" s="529"/>
      <c r="B59" s="472"/>
      <c r="C59" s="473"/>
      <c r="D59" s="473"/>
      <c r="E59" s="475"/>
      <c r="F59" s="529">
        <v>46</v>
      </c>
      <c r="G59" s="476" t="s">
        <v>676</v>
      </c>
      <c r="H59" s="532">
        <f>49500</f>
        <v>49500</v>
      </c>
      <c r="I59" s="532"/>
      <c r="J59" s="531" t="s">
        <v>35</v>
      </c>
      <c r="K59" s="563" t="s">
        <v>35</v>
      </c>
    </row>
    <row r="60" spans="1:11" ht="39.950000000000003" customHeight="1">
      <c r="A60" s="529"/>
      <c r="B60" s="472"/>
      <c r="C60" s="473"/>
      <c r="D60" s="473"/>
      <c r="E60" s="475"/>
      <c r="F60" s="529">
        <v>47</v>
      </c>
      <c r="G60" s="476" t="s">
        <v>677</v>
      </c>
      <c r="H60" s="532">
        <f>644350</f>
        <v>644350</v>
      </c>
      <c r="I60" s="532"/>
      <c r="J60" s="531" t="s">
        <v>35</v>
      </c>
      <c r="K60" s="563" t="s">
        <v>35</v>
      </c>
    </row>
    <row r="61" spans="1:11" ht="39.950000000000003" customHeight="1">
      <c r="A61" s="529"/>
      <c r="B61" s="472"/>
      <c r="C61" s="473"/>
      <c r="D61" s="473"/>
      <c r="E61" s="475"/>
      <c r="F61" s="529">
        <v>48</v>
      </c>
      <c r="G61" s="476" t="s">
        <v>678</v>
      </c>
      <c r="H61" s="532">
        <v>2223490</v>
      </c>
      <c r="I61" s="532"/>
      <c r="J61" s="531" t="s">
        <v>35</v>
      </c>
      <c r="K61" s="563" t="s">
        <v>35</v>
      </c>
    </row>
    <row r="62" spans="1:11" ht="39.950000000000003" customHeight="1">
      <c r="A62" s="529"/>
      <c r="B62" s="472"/>
      <c r="C62" s="473"/>
      <c r="D62" s="473"/>
      <c r="E62" s="475"/>
      <c r="F62" s="529">
        <v>49</v>
      </c>
      <c r="G62" s="476" t="s">
        <v>679</v>
      </c>
      <c r="H62" s="532">
        <f>261250</f>
        <v>261250</v>
      </c>
      <c r="I62" s="532"/>
      <c r="J62" s="531" t="s">
        <v>35</v>
      </c>
      <c r="K62" s="563" t="s">
        <v>35</v>
      </c>
    </row>
    <row r="63" spans="1:11" ht="39.950000000000003" customHeight="1">
      <c r="A63" s="529"/>
      <c r="B63" s="472"/>
      <c r="C63" s="473"/>
      <c r="D63" s="473"/>
      <c r="E63" s="475"/>
      <c r="F63" s="529">
        <v>50</v>
      </c>
      <c r="G63" s="476" t="s">
        <v>680</v>
      </c>
      <c r="H63" s="532">
        <f>252800</f>
        <v>252800</v>
      </c>
      <c r="I63" s="532"/>
      <c r="J63" s="531" t="s">
        <v>35</v>
      </c>
      <c r="K63" s="563" t="s">
        <v>35</v>
      </c>
    </row>
    <row r="64" spans="1:11" ht="39.950000000000003" customHeight="1">
      <c r="A64" s="529"/>
      <c r="B64" s="472"/>
      <c r="C64" s="473"/>
      <c r="D64" s="473"/>
      <c r="E64" s="475"/>
      <c r="F64" s="529">
        <v>51</v>
      </c>
      <c r="G64" s="476" t="s">
        <v>681</v>
      </c>
      <c r="H64" s="532">
        <f>21850</f>
        <v>21850</v>
      </c>
      <c r="I64" s="532"/>
      <c r="J64" s="503">
        <v>44349</v>
      </c>
      <c r="K64" s="563" t="s">
        <v>35</v>
      </c>
    </row>
    <row r="65" spans="1:11" ht="39.950000000000003" customHeight="1">
      <c r="A65" s="529"/>
      <c r="B65" s="472"/>
      <c r="C65" s="473"/>
      <c r="D65" s="473"/>
      <c r="E65" s="475"/>
      <c r="F65" s="529">
        <v>52</v>
      </c>
      <c r="G65" s="570" t="s">
        <v>682</v>
      </c>
      <c r="H65" s="532">
        <f>90000</f>
        <v>90000</v>
      </c>
      <c r="I65" s="532"/>
      <c r="J65" s="503">
        <v>44350</v>
      </c>
      <c r="K65" s="563" t="s">
        <v>35</v>
      </c>
    </row>
    <row r="66" spans="1:11" ht="39.950000000000003" customHeight="1">
      <c r="A66" s="529"/>
      <c r="B66" s="472"/>
      <c r="C66" s="473"/>
      <c r="D66" s="473"/>
      <c r="E66" s="475"/>
      <c r="F66" s="529">
        <v>53</v>
      </c>
      <c r="G66" s="570" t="s">
        <v>683</v>
      </c>
      <c r="H66" s="532">
        <f>29000+8500</f>
        <v>37500</v>
      </c>
      <c r="I66" s="532"/>
      <c r="J66" s="503" t="s">
        <v>35</v>
      </c>
      <c r="K66" s="563" t="s">
        <v>35</v>
      </c>
    </row>
    <row r="67" spans="1:11" ht="39.950000000000003" customHeight="1">
      <c r="A67" s="529"/>
      <c r="B67" s="472"/>
      <c r="C67" s="473"/>
      <c r="D67" s="473"/>
      <c r="E67" s="475"/>
      <c r="F67" s="529">
        <v>54</v>
      </c>
      <c r="G67" s="570" t="s">
        <v>684</v>
      </c>
      <c r="H67" s="532">
        <v>81730</v>
      </c>
      <c r="I67" s="532"/>
      <c r="J67" s="503" t="s">
        <v>35</v>
      </c>
      <c r="K67" s="563" t="s">
        <v>35</v>
      </c>
    </row>
    <row r="68" spans="1:11" ht="39.950000000000003" customHeight="1">
      <c r="A68" s="529"/>
      <c r="B68" s="472"/>
      <c r="C68" s="473"/>
      <c r="D68" s="473"/>
      <c r="E68" s="475"/>
      <c r="F68" s="529">
        <v>55</v>
      </c>
      <c r="G68" s="570" t="s">
        <v>685</v>
      </c>
      <c r="H68" s="532">
        <f>67900</f>
        <v>67900</v>
      </c>
      <c r="I68" s="532"/>
      <c r="J68" s="503" t="s">
        <v>35</v>
      </c>
      <c r="K68" s="563" t="s">
        <v>35</v>
      </c>
    </row>
    <row r="69" spans="1:11" ht="39.950000000000003" customHeight="1">
      <c r="A69" s="529"/>
      <c r="B69" s="472"/>
      <c r="C69" s="473"/>
      <c r="D69" s="473"/>
      <c r="E69" s="475"/>
      <c r="F69" s="529">
        <v>56</v>
      </c>
      <c r="G69" s="570" t="s">
        <v>686</v>
      </c>
      <c r="H69" s="532">
        <f>519290</f>
        <v>519290</v>
      </c>
      <c r="I69" s="532"/>
      <c r="J69" s="503">
        <v>44351</v>
      </c>
      <c r="K69" s="563" t="s">
        <v>35</v>
      </c>
    </row>
    <row r="70" spans="1:11" ht="39.950000000000003" customHeight="1">
      <c r="A70" s="529"/>
      <c r="B70" s="472"/>
      <c r="C70" s="473"/>
      <c r="D70" s="473"/>
      <c r="E70" s="475"/>
      <c r="F70" s="529">
        <v>57</v>
      </c>
      <c r="G70" s="570" t="s">
        <v>687</v>
      </c>
      <c r="H70" s="532">
        <f>3230620</f>
        <v>3230620</v>
      </c>
      <c r="I70" s="532"/>
      <c r="J70" s="503" t="s">
        <v>35</v>
      </c>
      <c r="K70" s="563" t="s">
        <v>35</v>
      </c>
    </row>
    <row r="71" spans="1:11" ht="39.950000000000003" customHeight="1">
      <c r="A71" s="529"/>
      <c r="B71" s="472"/>
      <c r="C71" s="473"/>
      <c r="D71" s="473"/>
      <c r="E71" s="475"/>
      <c r="F71" s="529">
        <v>58</v>
      </c>
      <c r="G71" s="476" t="s">
        <v>688</v>
      </c>
      <c r="H71" s="532">
        <f>21850</f>
        <v>21850</v>
      </c>
      <c r="I71" s="532"/>
      <c r="J71" s="503" t="s">
        <v>35</v>
      </c>
      <c r="K71" s="563" t="s">
        <v>35</v>
      </c>
    </row>
    <row r="72" spans="1:11" ht="39.950000000000003" customHeight="1">
      <c r="A72" s="529"/>
      <c r="B72" s="472"/>
      <c r="C72" s="473"/>
      <c r="D72" s="473"/>
      <c r="E72" s="475"/>
      <c r="F72" s="529">
        <v>59</v>
      </c>
      <c r="G72" s="476" t="s">
        <v>689</v>
      </c>
      <c r="H72" s="532">
        <f>21850</f>
        <v>21850</v>
      </c>
      <c r="I72" s="532"/>
      <c r="J72" s="503" t="s">
        <v>35</v>
      </c>
      <c r="K72" s="563" t="s">
        <v>35</v>
      </c>
    </row>
    <row r="73" spans="1:11" ht="39.950000000000003" customHeight="1">
      <c r="A73" s="529"/>
      <c r="B73" s="472"/>
      <c r="C73" s="473"/>
      <c r="D73" s="473"/>
      <c r="E73" s="475"/>
      <c r="F73" s="529">
        <v>60</v>
      </c>
      <c r="G73" s="476" t="s">
        <v>690</v>
      </c>
      <c r="H73" s="532">
        <f>259000</f>
        <v>259000</v>
      </c>
      <c r="I73" s="532"/>
      <c r="J73" s="503" t="s">
        <v>35</v>
      </c>
      <c r="K73" s="563" t="s">
        <v>35</v>
      </c>
    </row>
    <row r="74" spans="1:11" ht="39.950000000000003" customHeight="1" thickBot="1">
      <c r="A74" s="529"/>
      <c r="B74" s="472"/>
      <c r="C74" s="473"/>
      <c r="D74" s="473"/>
      <c r="E74" s="475"/>
      <c r="F74" s="529">
        <v>61</v>
      </c>
      <c r="G74" s="571" t="s">
        <v>691</v>
      </c>
      <c r="H74" s="532">
        <f>323630</f>
        <v>323630</v>
      </c>
      <c r="I74" s="532"/>
      <c r="J74" s="503" t="s">
        <v>35</v>
      </c>
      <c r="K74" s="563" t="s">
        <v>35</v>
      </c>
    </row>
    <row r="75" spans="1:11" ht="39.950000000000003" customHeight="1" thickBot="1">
      <c r="A75" s="513"/>
      <c r="B75" s="514" t="s">
        <v>72</v>
      </c>
      <c r="C75" s="515">
        <f>SUM(C14:C74)</f>
        <v>240229755</v>
      </c>
      <c r="D75" s="516"/>
      <c r="E75" s="517"/>
      <c r="F75" s="518"/>
      <c r="G75" s="514" t="s">
        <v>72</v>
      </c>
      <c r="H75" s="519">
        <f>SUM(H14:H45)</f>
        <v>141461450</v>
      </c>
      <c r="I75" s="519"/>
      <c r="J75" s="520" t="s">
        <v>73</v>
      </c>
      <c r="K75" s="521"/>
    </row>
    <row r="76" spans="1:11" ht="39.950000000000003" customHeight="1" thickBot="1">
      <c r="A76" s="856" t="s">
        <v>74</v>
      </c>
      <c r="B76" s="857"/>
      <c r="C76" s="857"/>
      <c r="D76" s="857"/>
      <c r="E76" s="857"/>
      <c r="F76" s="857"/>
      <c r="G76" s="857"/>
      <c r="H76" s="695"/>
      <c r="I76" s="695"/>
      <c r="J76" s="522"/>
      <c r="K76" s="522"/>
    </row>
    <row r="77" spans="1:11" ht="39.950000000000003" customHeight="1" thickBot="1">
      <c r="A77" s="858" t="s">
        <v>692</v>
      </c>
      <c r="B77" s="859"/>
      <c r="C77" s="859"/>
      <c r="D77" s="859"/>
      <c r="E77" s="860"/>
      <c r="F77" s="861" t="s">
        <v>693</v>
      </c>
      <c r="G77" s="862"/>
      <c r="H77" s="862"/>
      <c r="I77" s="862"/>
      <c r="J77" s="862"/>
      <c r="K77" s="863"/>
    </row>
    <row r="78" spans="1:11" ht="39.950000000000003" customHeight="1" thickBot="1">
      <c r="A78" s="459" t="s">
        <v>24</v>
      </c>
      <c r="B78" s="460" t="s">
        <v>25</v>
      </c>
      <c r="C78" s="461" t="s">
        <v>108</v>
      </c>
      <c r="D78" s="461" t="s">
        <v>27</v>
      </c>
      <c r="E78" s="696" t="s">
        <v>10</v>
      </c>
      <c r="F78" s="523" t="s">
        <v>24</v>
      </c>
      <c r="G78" s="460" t="s">
        <v>25</v>
      </c>
      <c r="H78" s="461" t="s">
        <v>108</v>
      </c>
      <c r="I78" s="461" t="s">
        <v>200</v>
      </c>
      <c r="J78" s="461" t="s">
        <v>655</v>
      </c>
      <c r="K78" s="696" t="s">
        <v>10</v>
      </c>
    </row>
    <row r="79" spans="1:11" ht="39.950000000000003" customHeight="1">
      <c r="A79" s="491">
        <v>1</v>
      </c>
      <c r="B79" s="487" t="s">
        <v>628</v>
      </c>
      <c r="C79" s="488">
        <v>2200000</v>
      </c>
      <c r="D79" s="488" t="s">
        <v>694</v>
      </c>
      <c r="E79" s="490"/>
      <c r="F79" s="524">
        <v>1</v>
      </c>
      <c r="G79" s="525" t="s">
        <v>448</v>
      </c>
      <c r="H79" s="526">
        <f>332600+717640</f>
        <v>1050240</v>
      </c>
      <c r="I79" s="526"/>
      <c r="J79" s="527">
        <v>44354</v>
      </c>
      <c r="K79" s="555" t="s">
        <v>695</v>
      </c>
    </row>
    <row r="80" spans="1:11" ht="39.950000000000003" customHeight="1">
      <c r="A80" s="491">
        <v>2</v>
      </c>
      <c r="B80" s="487" t="s">
        <v>696</v>
      </c>
      <c r="C80" s="488">
        <v>12100000</v>
      </c>
      <c r="D80" s="488" t="s">
        <v>697</v>
      </c>
      <c r="E80" s="490"/>
      <c r="F80" s="491">
        <v>2</v>
      </c>
      <c r="G80" s="534" t="s">
        <v>698</v>
      </c>
      <c r="H80" s="561">
        <v>608958</v>
      </c>
      <c r="I80" s="561"/>
      <c r="J80" s="562" t="s">
        <v>35</v>
      </c>
      <c r="K80" s="477" t="s">
        <v>253</v>
      </c>
    </row>
    <row r="81" spans="1:11" ht="39.950000000000003" customHeight="1">
      <c r="A81" s="491">
        <v>3</v>
      </c>
      <c r="B81" s="463" t="s">
        <v>699</v>
      </c>
      <c r="C81" s="468">
        <v>161964000</v>
      </c>
      <c r="D81" s="488" t="s">
        <v>35</v>
      </c>
      <c r="E81" s="490"/>
      <c r="F81" s="529">
        <v>3</v>
      </c>
      <c r="G81" s="500" t="s">
        <v>700</v>
      </c>
      <c r="H81" s="530">
        <v>44000</v>
      </c>
      <c r="I81" s="530"/>
      <c r="J81" s="553" t="s">
        <v>35</v>
      </c>
      <c r="K81" s="477" t="s">
        <v>37</v>
      </c>
    </row>
    <row r="82" spans="1:11" ht="39.950000000000003" customHeight="1">
      <c r="A82" s="491">
        <v>4</v>
      </c>
      <c r="B82" s="487" t="s">
        <v>701</v>
      </c>
      <c r="C82" s="488">
        <v>32670000</v>
      </c>
      <c r="D82" s="492" t="s">
        <v>702</v>
      </c>
      <c r="E82" s="490"/>
      <c r="F82" s="529">
        <v>4</v>
      </c>
      <c r="G82" s="500" t="s">
        <v>703</v>
      </c>
      <c r="H82" s="530">
        <f>500000</f>
        <v>500000</v>
      </c>
      <c r="I82" s="530"/>
      <c r="J82" s="503">
        <v>44355</v>
      </c>
      <c r="K82" s="477" t="s">
        <v>704</v>
      </c>
    </row>
    <row r="83" spans="1:11" ht="39.950000000000003" customHeight="1">
      <c r="A83" s="491">
        <v>5</v>
      </c>
      <c r="B83" s="487" t="s">
        <v>705</v>
      </c>
      <c r="C83" s="488">
        <v>38261223</v>
      </c>
      <c r="D83" s="492" t="s">
        <v>37</v>
      </c>
      <c r="E83" s="490"/>
      <c r="F83" s="529">
        <v>5</v>
      </c>
      <c r="G83" s="500" t="s">
        <v>706</v>
      </c>
      <c r="H83" s="530">
        <v>329904312</v>
      </c>
      <c r="I83" s="557">
        <v>290397742</v>
      </c>
      <c r="J83" s="503">
        <v>44357</v>
      </c>
      <c r="K83" s="477"/>
    </row>
    <row r="84" spans="1:11" ht="39.950000000000003" customHeight="1">
      <c r="A84" s="491">
        <v>5</v>
      </c>
      <c r="B84" s="487" t="s">
        <v>615</v>
      </c>
      <c r="C84" s="488">
        <v>11957000</v>
      </c>
      <c r="D84" s="492" t="s">
        <v>707</v>
      </c>
      <c r="E84" s="490"/>
      <c r="F84" s="529">
        <v>6</v>
      </c>
      <c r="G84" s="500" t="s">
        <v>708</v>
      </c>
      <c r="H84" s="532">
        <v>8333333</v>
      </c>
      <c r="I84" s="556">
        <f>H84-(H84*3.3%)</f>
        <v>8058333.0109999999</v>
      </c>
      <c r="J84" s="531" t="s">
        <v>37</v>
      </c>
      <c r="K84" s="477"/>
    </row>
    <row r="85" spans="1:11" ht="39.950000000000003" customHeight="1">
      <c r="A85" s="491"/>
      <c r="B85" s="463"/>
      <c r="C85" s="468"/>
      <c r="D85" s="488"/>
      <c r="E85" s="490"/>
      <c r="F85" s="529">
        <v>7</v>
      </c>
      <c r="G85" s="500" t="s">
        <v>709</v>
      </c>
      <c r="H85" s="532">
        <v>5500000</v>
      </c>
      <c r="I85" s="556">
        <f t="shared" ref="I85:I101" si="0">H85-(H85*3.3%)</f>
        <v>5318500</v>
      </c>
      <c r="J85" s="531" t="s">
        <v>37</v>
      </c>
      <c r="K85" s="477"/>
    </row>
    <row r="86" spans="1:11" ht="39.950000000000003" customHeight="1">
      <c r="A86" s="491"/>
      <c r="B86" s="487"/>
      <c r="C86" s="488"/>
      <c r="D86" s="488"/>
      <c r="E86" s="490"/>
      <c r="F86" s="529">
        <v>8</v>
      </c>
      <c r="G86" s="500" t="s">
        <v>710</v>
      </c>
      <c r="H86" s="532">
        <v>6000000</v>
      </c>
      <c r="I86" s="556">
        <f t="shared" si="0"/>
        <v>5802000</v>
      </c>
      <c r="J86" s="531" t="s">
        <v>37</v>
      </c>
      <c r="K86" s="477"/>
    </row>
    <row r="87" spans="1:11" ht="39.950000000000003" customHeight="1">
      <c r="A87" s="529"/>
      <c r="B87" s="487"/>
      <c r="C87" s="488"/>
      <c r="D87" s="492"/>
      <c r="E87" s="475"/>
      <c r="F87" s="529">
        <v>9</v>
      </c>
      <c r="G87" s="500" t="s">
        <v>711</v>
      </c>
      <c r="H87" s="532">
        <v>4200000</v>
      </c>
      <c r="I87" s="556">
        <f t="shared" si="0"/>
        <v>4061400</v>
      </c>
      <c r="J87" s="531"/>
      <c r="K87" s="477" t="s">
        <v>712</v>
      </c>
    </row>
    <row r="88" spans="1:11" ht="39.950000000000003" customHeight="1">
      <c r="A88" s="491"/>
      <c r="B88" s="487"/>
      <c r="C88" s="488"/>
      <c r="D88" s="492"/>
      <c r="E88" s="490"/>
      <c r="F88" s="529">
        <v>10</v>
      </c>
      <c r="G88" s="476" t="s">
        <v>713</v>
      </c>
      <c r="H88" s="501">
        <v>4000000</v>
      </c>
      <c r="I88" s="556">
        <f t="shared" si="0"/>
        <v>3868000</v>
      </c>
      <c r="J88" s="531" t="s">
        <v>37</v>
      </c>
      <c r="K88" s="477"/>
    </row>
    <row r="89" spans="1:11" ht="39.950000000000003" customHeight="1">
      <c r="A89" s="491"/>
      <c r="B89" s="487"/>
      <c r="C89" s="488"/>
      <c r="D89" s="492"/>
      <c r="E89" s="490"/>
      <c r="F89" s="529">
        <v>11</v>
      </c>
      <c r="G89" s="476" t="s">
        <v>714</v>
      </c>
      <c r="H89" s="501">
        <v>631720</v>
      </c>
      <c r="I89" s="556">
        <f>H89-(H89*3.3%)</f>
        <v>610873.24</v>
      </c>
      <c r="J89" s="531"/>
      <c r="K89" s="558" t="s">
        <v>715</v>
      </c>
    </row>
    <row r="90" spans="1:11" ht="39.950000000000003" customHeight="1">
      <c r="A90" s="529"/>
      <c r="B90" s="487"/>
      <c r="C90" s="488"/>
      <c r="D90" s="488"/>
      <c r="E90" s="475"/>
      <c r="F90" s="529">
        <v>12</v>
      </c>
      <c r="G90" s="500" t="s">
        <v>716</v>
      </c>
      <c r="H90" s="501">
        <v>6500000</v>
      </c>
      <c r="I90" s="556">
        <f t="shared" si="0"/>
        <v>6285500</v>
      </c>
      <c r="J90" s="503" t="s">
        <v>37</v>
      </c>
      <c r="K90" s="477"/>
    </row>
    <row r="91" spans="1:11" ht="39.950000000000003" customHeight="1">
      <c r="A91" s="529"/>
      <c r="B91" s="472"/>
      <c r="C91" s="473"/>
      <c r="D91" s="473"/>
      <c r="E91" s="475"/>
      <c r="F91" s="529">
        <v>13</v>
      </c>
      <c r="G91" s="500" t="s">
        <v>717</v>
      </c>
      <c r="H91" s="501">
        <v>5500000</v>
      </c>
      <c r="I91" s="556">
        <f t="shared" si="0"/>
        <v>5318500</v>
      </c>
      <c r="J91" s="503" t="s">
        <v>37</v>
      </c>
      <c r="K91" s="477"/>
    </row>
    <row r="92" spans="1:11" ht="39.950000000000003" customHeight="1">
      <c r="A92" s="529"/>
      <c r="B92" s="472"/>
      <c r="C92" s="473"/>
      <c r="D92" s="473"/>
      <c r="E92" s="475"/>
      <c r="F92" s="529">
        <v>14</v>
      </c>
      <c r="G92" s="500" t="s">
        <v>718</v>
      </c>
      <c r="H92" s="501">
        <v>6000000</v>
      </c>
      <c r="I92" s="556">
        <f t="shared" si="0"/>
        <v>5802000</v>
      </c>
      <c r="J92" s="503" t="s">
        <v>37</v>
      </c>
      <c r="K92" s="477"/>
    </row>
    <row r="93" spans="1:11" ht="39.950000000000003" customHeight="1">
      <c r="A93" s="529"/>
      <c r="B93" s="472"/>
      <c r="C93" s="473"/>
      <c r="D93" s="473"/>
      <c r="E93" s="475"/>
      <c r="F93" s="529">
        <v>15</v>
      </c>
      <c r="G93" s="500" t="s">
        <v>719</v>
      </c>
      <c r="H93" s="501">
        <v>6800000</v>
      </c>
      <c r="I93" s="556">
        <f t="shared" si="0"/>
        <v>6575600</v>
      </c>
      <c r="J93" s="503" t="s">
        <v>37</v>
      </c>
      <c r="K93" s="477"/>
    </row>
    <row r="94" spans="1:11" ht="39.950000000000003" customHeight="1">
      <c r="A94" s="529"/>
      <c r="B94" s="472"/>
      <c r="C94" s="473"/>
      <c r="D94" s="473"/>
      <c r="E94" s="475"/>
      <c r="F94" s="529">
        <v>16</v>
      </c>
      <c r="G94" s="500" t="s">
        <v>720</v>
      </c>
      <c r="H94" s="532">
        <v>5800000</v>
      </c>
      <c r="I94" s="556">
        <f t="shared" si="0"/>
        <v>5608600</v>
      </c>
      <c r="J94" s="531" t="s">
        <v>37</v>
      </c>
      <c r="K94" s="477"/>
    </row>
    <row r="95" spans="1:11" ht="39.950000000000003" customHeight="1">
      <c r="A95" s="529"/>
      <c r="B95" s="472"/>
      <c r="C95" s="473"/>
      <c r="D95" s="473"/>
      <c r="E95" s="475"/>
      <c r="F95" s="529">
        <v>17</v>
      </c>
      <c r="G95" s="500" t="s">
        <v>721</v>
      </c>
      <c r="H95" s="532">
        <v>6500000</v>
      </c>
      <c r="I95" s="556">
        <f t="shared" si="0"/>
        <v>6285500</v>
      </c>
      <c r="J95" s="531" t="s">
        <v>37</v>
      </c>
      <c r="K95" s="477"/>
    </row>
    <row r="96" spans="1:11" ht="39.950000000000003" customHeight="1">
      <c r="A96" s="529"/>
      <c r="B96" s="472"/>
      <c r="C96" s="473"/>
      <c r="D96" s="473"/>
      <c r="E96" s="475"/>
      <c r="F96" s="529">
        <v>18</v>
      </c>
      <c r="G96" s="500" t="s">
        <v>722</v>
      </c>
      <c r="H96" s="532">
        <v>6000000</v>
      </c>
      <c r="I96" s="556">
        <f t="shared" si="0"/>
        <v>5802000</v>
      </c>
      <c r="J96" s="531"/>
      <c r="K96" s="477" t="s">
        <v>723</v>
      </c>
    </row>
    <row r="97" spans="1:11" ht="39.950000000000003" customHeight="1">
      <c r="A97" s="529"/>
      <c r="B97" s="472"/>
      <c r="C97" s="473"/>
      <c r="D97" s="473"/>
      <c r="E97" s="475"/>
      <c r="F97" s="529">
        <v>19</v>
      </c>
      <c r="G97" s="500" t="s">
        <v>724</v>
      </c>
      <c r="H97" s="532">
        <v>5500000</v>
      </c>
      <c r="I97" s="556">
        <f t="shared" si="0"/>
        <v>5318500</v>
      </c>
      <c r="J97" s="531" t="s">
        <v>37</v>
      </c>
      <c r="K97" s="347"/>
    </row>
    <row r="98" spans="1:11" ht="39.950000000000003" customHeight="1">
      <c r="A98" s="529"/>
      <c r="B98" s="472"/>
      <c r="C98" s="473"/>
      <c r="D98" s="473"/>
      <c r="E98" s="475"/>
      <c r="F98" s="529">
        <v>20</v>
      </c>
      <c r="G98" s="500" t="s">
        <v>725</v>
      </c>
      <c r="H98" s="532">
        <v>8000000</v>
      </c>
      <c r="I98" s="556">
        <f t="shared" si="0"/>
        <v>7736000</v>
      </c>
      <c r="J98" s="531" t="s">
        <v>37</v>
      </c>
      <c r="K98" s="347"/>
    </row>
    <row r="99" spans="1:11" ht="39.950000000000003" customHeight="1">
      <c r="A99" s="491"/>
      <c r="B99" s="463"/>
      <c r="C99" s="468"/>
      <c r="D99" s="488"/>
      <c r="E99" s="490"/>
      <c r="F99" s="529">
        <v>21</v>
      </c>
      <c r="G99" s="533" t="s">
        <v>726</v>
      </c>
      <c r="H99" s="550">
        <v>4500000</v>
      </c>
      <c r="I99" s="556">
        <f t="shared" si="0"/>
        <v>4351500</v>
      </c>
      <c r="J99" s="531" t="s">
        <v>37</v>
      </c>
      <c r="K99" s="477"/>
    </row>
    <row r="100" spans="1:11" ht="39.950000000000003" customHeight="1">
      <c r="A100" s="491"/>
      <c r="B100" s="487"/>
      <c r="C100" s="488"/>
      <c r="D100" s="488"/>
      <c r="E100" s="490"/>
      <c r="F100" s="529">
        <v>22</v>
      </c>
      <c r="G100" s="533" t="s">
        <v>727</v>
      </c>
      <c r="H100" s="532">
        <v>6000000</v>
      </c>
      <c r="I100" s="556">
        <f t="shared" si="0"/>
        <v>5802000</v>
      </c>
      <c r="J100" s="531" t="s">
        <v>37</v>
      </c>
      <c r="K100" s="511"/>
    </row>
    <row r="101" spans="1:11" ht="39.950000000000003" customHeight="1">
      <c r="A101" s="491"/>
      <c r="B101" s="487"/>
      <c r="C101" s="488"/>
      <c r="D101" s="488"/>
      <c r="E101" s="490"/>
      <c r="F101" s="529">
        <v>23</v>
      </c>
      <c r="G101" s="533" t="s">
        <v>728</v>
      </c>
      <c r="H101" s="532">
        <f>8000000</f>
        <v>8000000</v>
      </c>
      <c r="I101" s="556">
        <f t="shared" si="0"/>
        <v>7736000</v>
      </c>
      <c r="J101" s="531" t="s">
        <v>37</v>
      </c>
      <c r="K101" s="511" t="s">
        <v>729</v>
      </c>
    </row>
    <row r="102" spans="1:11" ht="39.950000000000003" customHeight="1">
      <c r="A102" s="529"/>
      <c r="B102" s="472"/>
      <c r="C102" s="473"/>
      <c r="D102" s="473"/>
      <c r="E102" s="475"/>
      <c r="F102" s="529">
        <v>24</v>
      </c>
      <c r="G102" s="500" t="s">
        <v>230</v>
      </c>
      <c r="H102" s="532">
        <v>9350000</v>
      </c>
      <c r="I102" s="556">
        <f>H102</f>
        <v>9350000</v>
      </c>
      <c r="J102" s="531" t="s">
        <v>37</v>
      </c>
      <c r="K102" s="477"/>
    </row>
    <row r="103" spans="1:11" ht="39.950000000000003" customHeight="1">
      <c r="A103" s="529"/>
      <c r="B103" s="472"/>
      <c r="C103" s="473"/>
      <c r="D103" s="473"/>
      <c r="E103" s="475"/>
      <c r="F103" s="529">
        <v>25</v>
      </c>
      <c r="G103" s="500" t="s">
        <v>730</v>
      </c>
      <c r="H103" s="532">
        <v>17395484</v>
      </c>
      <c r="I103" s="556">
        <f>H103</f>
        <v>17395484</v>
      </c>
      <c r="J103" s="531" t="s">
        <v>37</v>
      </c>
      <c r="K103" s="477" t="s">
        <v>731</v>
      </c>
    </row>
    <row r="104" spans="1:11" ht="39.950000000000003" customHeight="1">
      <c r="A104" s="529"/>
      <c r="B104" s="472"/>
      <c r="C104" s="473"/>
      <c r="D104" s="473"/>
      <c r="E104" s="475"/>
      <c r="F104" s="529">
        <v>26</v>
      </c>
      <c r="G104" s="500" t="s">
        <v>732</v>
      </c>
      <c r="H104" s="532">
        <v>1738709</v>
      </c>
      <c r="I104" s="556">
        <f>H104</f>
        <v>1738709</v>
      </c>
      <c r="J104" s="531" t="s">
        <v>37</v>
      </c>
      <c r="K104" s="477" t="s">
        <v>733</v>
      </c>
    </row>
    <row r="105" spans="1:11" ht="39.950000000000003" customHeight="1">
      <c r="A105" s="529"/>
      <c r="B105" s="472"/>
      <c r="C105" s="473"/>
      <c r="D105" s="473"/>
      <c r="E105" s="475"/>
      <c r="F105" s="529">
        <v>27</v>
      </c>
      <c r="G105" s="500" t="s">
        <v>734</v>
      </c>
      <c r="H105" s="532">
        <v>5074190</v>
      </c>
      <c r="I105" s="556">
        <f>H105</f>
        <v>5074190</v>
      </c>
      <c r="J105" s="531"/>
      <c r="K105" s="558" t="s">
        <v>735</v>
      </c>
    </row>
    <row r="106" spans="1:11" ht="39.950000000000003" customHeight="1">
      <c r="A106" s="529"/>
      <c r="B106" s="472"/>
      <c r="C106" s="473"/>
      <c r="D106" s="473"/>
      <c r="E106" s="475"/>
      <c r="F106" s="529">
        <v>28</v>
      </c>
      <c r="G106" s="500" t="s">
        <v>736</v>
      </c>
      <c r="H106" s="532">
        <f>887097*1.1</f>
        <v>975806.70000000007</v>
      </c>
      <c r="I106" s="556">
        <f>H106</f>
        <v>975806.70000000007</v>
      </c>
      <c r="J106" s="531"/>
      <c r="K106" s="558" t="s">
        <v>737</v>
      </c>
    </row>
    <row r="107" spans="1:11" ht="39.950000000000003" customHeight="1">
      <c r="A107" s="529"/>
      <c r="B107" s="472"/>
      <c r="C107" s="473"/>
      <c r="D107" s="473"/>
      <c r="E107" s="475"/>
      <c r="F107" s="529">
        <v>29</v>
      </c>
      <c r="G107" s="500" t="s">
        <v>235</v>
      </c>
      <c r="H107" s="532">
        <f>11764530+2838980+630640+1459960</f>
        <v>16694110</v>
      </c>
      <c r="I107" s="532"/>
      <c r="J107" s="531" t="s">
        <v>37</v>
      </c>
      <c r="K107" s="477"/>
    </row>
    <row r="108" spans="1:11" ht="39.950000000000003" customHeight="1">
      <c r="A108" s="529"/>
      <c r="B108" s="472"/>
      <c r="C108" s="473"/>
      <c r="D108" s="473"/>
      <c r="E108" s="475"/>
      <c r="F108" s="529">
        <v>30</v>
      </c>
      <c r="G108" s="500" t="s">
        <v>738</v>
      </c>
      <c r="H108" s="532">
        <v>23376800</v>
      </c>
      <c r="I108" s="532"/>
      <c r="J108" s="531" t="s">
        <v>37</v>
      </c>
      <c r="K108" s="477"/>
    </row>
    <row r="109" spans="1:11" ht="39.950000000000003" customHeight="1">
      <c r="A109" s="529"/>
      <c r="B109" s="472"/>
      <c r="C109" s="473"/>
      <c r="D109" s="473"/>
      <c r="E109" s="475"/>
      <c r="F109" s="529">
        <v>31</v>
      </c>
      <c r="G109" s="500" t="s">
        <v>739</v>
      </c>
      <c r="H109" s="532">
        <v>24159980</v>
      </c>
      <c r="I109" s="532"/>
      <c r="J109" s="531" t="s">
        <v>37</v>
      </c>
      <c r="K109" s="477"/>
    </row>
    <row r="110" spans="1:11" ht="39.950000000000003" customHeight="1">
      <c r="A110" s="529"/>
      <c r="B110" s="472"/>
      <c r="C110" s="473"/>
      <c r="D110" s="473"/>
      <c r="E110" s="475"/>
      <c r="F110" s="529">
        <v>32</v>
      </c>
      <c r="G110" s="500" t="s">
        <v>740</v>
      </c>
      <c r="H110" s="532">
        <v>5515160</v>
      </c>
      <c r="I110" s="532"/>
      <c r="J110" s="531" t="s">
        <v>37</v>
      </c>
      <c r="K110" s="477"/>
    </row>
    <row r="111" spans="1:11" ht="39.950000000000003" customHeight="1">
      <c r="A111" s="529"/>
      <c r="B111" s="472"/>
      <c r="C111" s="473"/>
      <c r="D111" s="473"/>
      <c r="E111" s="475"/>
      <c r="F111" s="529">
        <v>33</v>
      </c>
      <c r="G111" s="500" t="s">
        <v>741</v>
      </c>
      <c r="H111" s="532">
        <v>1916600</v>
      </c>
      <c r="I111" s="532"/>
      <c r="J111" s="531" t="s">
        <v>37</v>
      </c>
      <c r="K111" s="477"/>
    </row>
    <row r="112" spans="1:11" ht="39.950000000000003" customHeight="1">
      <c r="A112" s="529"/>
      <c r="B112" s="472"/>
      <c r="C112" s="473"/>
      <c r="D112" s="473"/>
      <c r="E112" s="475"/>
      <c r="F112" s="529">
        <v>34</v>
      </c>
      <c r="G112" s="500" t="s">
        <v>742</v>
      </c>
      <c r="H112" s="532">
        <f>485200</f>
        <v>485200</v>
      </c>
      <c r="I112" s="532"/>
      <c r="J112" s="531" t="s">
        <v>37</v>
      </c>
      <c r="K112" s="477"/>
    </row>
    <row r="113" spans="1:11" ht="39.950000000000003" customHeight="1">
      <c r="A113" s="529"/>
      <c r="B113" s="472"/>
      <c r="C113" s="473"/>
      <c r="D113" s="473"/>
      <c r="E113" s="475"/>
      <c r="F113" s="529">
        <v>35</v>
      </c>
      <c r="G113" s="500" t="s">
        <v>743</v>
      </c>
      <c r="H113" s="532">
        <v>27445660</v>
      </c>
      <c r="I113" s="532"/>
      <c r="J113" s="531" t="s">
        <v>37</v>
      </c>
      <c r="K113" s="511"/>
    </row>
    <row r="114" spans="1:11" ht="39.950000000000003" customHeight="1">
      <c r="A114" s="529"/>
      <c r="B114" s="472"/>
      <c r="C114" s="473"/>
      <c r="D114" s="473"/>
      <c r="E114" s="475"/>
      <c r="F114" s="529">
        <v>36</v>
      </c>
      <c r="G114" s="500" t="s">
        <v>744</v>
      </c>
      <c r="H114" s="532">
        <v>3500000</v>
      </c>
      <c r="I114" s="532"/>
      <c r="J114" s="531" t="s">
        <v>37</v>
      </c>
      <c r="K114" s="477"/>
    </row>
    <row r="115" spans="1:11" ht="39.950000000000003" customHeight="1">
      <c r="A115" s="529"/>
      <c r="B115" s="472"/>
      <c r="C115" s="473"/>
      <c r="D115" s="473"/>
      <c r="E115" s="475"/>
      <c r="F115" s="529">
        <v>37</v>
      </c>
      <c r="G115" s="476" t="s">
        <v>745</v>
      </c>
      <c r="H115" s="532">
        <f>11385000+3993000</f>
        <v>15378000</v>
      </c>
      <c r="I115" s="532"/>
      <c r="J115" s="531" t="s">
        <v>37</v>
      </c>
      <c r="K115" s="477"/>
    </row>
    <row r="116" spans="1:11" ht="39.950000000000003" customHeight="1">
      <c r="A116" s="540"/>
      <c r="B116" s="541"/>
      <c r="C116" s="542"/>
      <c r="D116" s="542"/>
      <c r="E116" s="543"/>
      <c r="F116" s="529">
        <v>38</v>
      </c>
      <c r="G116" s="493" t="s">
        <v>746</v>
      </c>
      <c r="H116" s="552">
        <f>1716000</f>
        <v>1716000</v>
      </c>
      <c r="I116" s="552"/>
      <c r="J116" s="531" t="s">
        <v>37</v>
      </c>
      <c r="K116" s="554"/>
    </row>
    <row r="117" spans="1:11" ht="39.950000000000003" customHeight="1" thickBot="1">
      <c r="A117" s="513"/>
      <c r="B117" s="514" t="s">
        <v>72</v>
      </c>
      <c r="C117" s="519">
        <f>SUM(C79:C116)</f>
        <v>259152223</v>
      </c>
      <c r="D117" s="516"/>
      <c r="E117" s="517"/>
      <c r="F117" s="513"/>
      <c r="G117" s="514" t="s">
        <v>72</v>
      </c>
      <c r="H117" s="519">
        <f>SUM(H79:H116)</f>
        <v>590594262.70000005</v>
      </c>
      <c r="I117" s="519">
        <f>SUM(H79:H82,I83:I106,H107:H116)</f>
        <v>547663445.95099998</v>
      </c>
      <c r="J117" s="544"/>
      <c r="K117" s="517"/>
    </row>
  </sheetData>
  <mergeCells count="17">
    <mergeCell ref="A76:G76"/>
    <mergeCell ref="A77:E77"/>
    <mergeCell ref="F77:K77"/>
    <mergeCell ref="A8:B9"/>
    <mergeCell ref="C8:E9"/>
    <mergeCell ref="F8:G9"/>
    <mergeCell ref="H8:K9"/>
    <mergeCell ref="A11:G11"/>
    <mergeCell ref="A12:E12"/>
    <mergeCell ref="F12:K12"/>
    <mergeCell ref="A2:K3"/>
    <mergeCell ref="A5:J5"/>
    <mergeCell ref="A6:G6"/>
    <mergeCell ref="A7:B7"/>
    <mergeCell ref="C7:E7"/>
    <mergeCell ref="F7:G7"/>
    <mergeCell ref="H7:K7"/>
  </mergeCells>
  <phoneticPr fontId="2" type="noConversion"/>
  <printOptions horizontalCentered="1"/>
  <pageMargins left="0" right="0" top="0" bottom="0" header="0" footer="0"/>
  <pageSetup paperSize="9" scale="36" orientation="portrait" r:id="rId1"/>
  <rowBreaks count="1" manualBreakCount="1">
    <brk id="75" max="45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A5A7E-8900-46FD-95A1-12E486B7D961}">
  <sheetPr>
    <tabColor rgb="FF00B0F0"/>
  </sheetPr>
  <dimension ref="A1:K102"/>
  <sheetViews>
    <sheetView view="pageBreakPreview" topLeftCell="A31" zoomScale="70" zoomScaleNormal="100" zoomScaleSheetLayoutView="70" workbookViewId="0">
      <selection activeCell="G42" sqref="G42:H46"/>
    </sheetView>
  </sheetViews>
  <sheetFormatPr defaultRowHeight="16.5"/>
  <cols>
    <col min="1" max="1" width="4.5" customWidth="1"/>
    <col min="2" max="2" width="54.5" customWidth="1"/>
    <col min="3" max="4" width="17.125" customWidth="1"/>
    <col min="5" max="5" width="23.25" customWidth="1"/>
    <col min="6" max="6" width="4.5" customWidth="1"/>
    <col min="7" max="7" width="74.25" customWidth="1"/>
    <col min="8" max="9" width="17.25" customWidth="1"/>
    <col min="10" max="10" width="21.875" style="13" bestFit="1" customWidth="1"/>
    <col min="11" max="11" width="27.5" style="13" customWidth="1"/>
  </cols>
  <sheetData>
    <row r="1" spans="1:11" ht="36.75" customHeight="1"/>
    <row r="2" spans="1:11" ht="21.95" customHeight="1">
      <c r="A2" s="811" t="s">
        <v>14</v>
      </c>
      <c r="B2" s="811"/>
      <c r="C2" s="811"/>
      <c r="D2" s="811"/>
      <c r="E2" s="811"/>
      <c r="F2" s="811"/>
      <c r="G2" s="811"/>
      <c r="H2" s="811"/>
      <c r="I2" s="811"/>
      <c r="J2" s="811"/>
      <c r="K2" s="811"/>
    </row>
    <row r="3" spans="1:11" ht="12" customHeight="1">
      <c r="A3" s="811"/>
      <c r="B3" s="811"/>
      <c r="C3" s="811"/>
      <c r="D3" s="811"/>
      <c r="E3" s="811"/>
      <c r="F3" s="811"/>
      <c r="G3" s="811"/>
      <c r="H3" s="811"/>
      <c r="I3" s="811"/>
      <c r="J3" s="811"/>
      <c r="K3" s="811"/>
    </row>
    <row r="4" spans="1:11" ht="21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ht="18" customHeight="1">
      <c r="A5" s="818" t="s">
        <v>747</v>
      </c>
      <c r="B5" s="818"/>
      <c r="C5" s="818"/>
      <c r="D5" s="818"/>
      <c r="E5" s="818"/>
      <c r="F5" s="818"/>
      <c r="G5" s="818"/>
      <c r="H5" s="818"/>
      <c r="I5" s="818"/>
      <c r="J5" s="818"/>
      <c r="K5" s="689"/>
    </row>
    <row r="6" spans="1:11" ht="18" customHeight="1" thickBot="1">
      <c r="A6" s="818" t="s">
        <v>16</v>
      </c>
      <c r="B6" s="819"/>
      <c r="C6" s="819"/>
      <c r="D6" s="819"/>
      <c r="E6" s="819"/>
      <c r="F6" s="819"/>
      <c r="G6" s="819"/>
      <c r="H6" s="690"/>
      <c r="I6" s="690"/>
      <c r="J6" s="3"/>
      <c r="K6" s="3"/>
    </row>
    <row r="7" spans="1:11" ht="27.75" customHeight="1" thickBot="1">
      <c r="A7" s="843" t="s">
        <v>17</v>
      </c>
      <c r="B7" s="844"/>
      <c r="C7" s="837" t="s">
        <v>18</v>
      </c>
      <c r="D7" s="828"/>
      <c r="E7" s="838"/>
      <c r="F7" s="837" t="s">
        <v>19</v>
      </c>
      <c r="G7" s="838"/>
      <c r="H7" s="828" t="s">
        <v>20</v>
      </c>
      <c r="I7" s="828"/>
      <c r="J7" s="828"/>
      <c r="K7" s="829"/>
    </row>
    <row r="8" spans="1:11" ht="18" customHeight="1" thickTop="1" thickBot="1">
      <c r="A8" s="824">
        <f>'6월4일'!$H$8</f>
        <v>338227332.005</v>
      </c>
      <c r="B8" s="825"/>
      <c r="C8" s="812">
        <f>C60</f>
        <v>247195223</v>
      </c>
      <c r="D8" s="813"/>
      <c r="E8" s="814"/>
      <c r="F8" s="839">
        <f>I60</f>
        <v>498916862.25099999</v>
      </c>
      <c r="G8" s="840"/>
      <c r="H8" s="830">
        <f>SUM(A8:E9)-F8</f>
        <v>86505692.754000008</v>
      </c>
      <c r="I8" s="830"/>
      <c r="J8" s="830"/>
      <c r="K8" s="831"/>
    </row>
    <row r="9" spans="1:11" ht="22.5" customHeight="1" thickTop="1" thickBot="1">
      <c r="A9" s="826"/>
      <c r="B9" s="827"/>
      <c r="C9" s="815"/>
      <c r="D9" s="816"/>
      <c r="E9" s="817"/>
      <c r="F9" s="841"/>
      <c r="G9" s="842"/>
      <c r="H9" s="832"/>
      <c r="I9" s="832"/>
      <c r="J9" s="832"/>
      <c r="K9" s="833"/>
    </row>
    <row r="10" spans="1:11" ht="18" customHeight="1">
      <c r="A10" s="689"/>
      <c r="B10" s="690"/>
      <c r="C10" s="690"/>
      <c r="D10" s="690"/>
      <c r="E10" s="690"/>
      <c r="F10" s="690"/>
      <c r="G10" s="690"/>
      <c r="H10" s="690"/>
      <c r="I10" s="690"/>
      <c r="J10" s="23"/>
      <c r="K10" s="23"/>
    </row>
    <row r="11" spans="1:11" ht="32.25" customHeight="1" thickBot="1">
      <c r="A11" s="818" t="s">
        <v>21</v>
      </c>
      <c r="B11" s="819"/>
      <c r="C11" s="819"/>
      <c r="D11" s="819"/>
      <c r="E11" s="819"/>
      <c r="F11" s="819"/>
      <c r="G11" s="819"/>
      <c r="H11" s="690"/>
      <c r="I11" s="690"/>
      <c r="J11" s="3"/>
      <c r="K11" s="3"/>
    </row>
    <row r="12" spans="1:11" ht="39.950000000000003" customHeight="1" thickBot="1">
      <c r="A12" s="861" t="s">
        <v>748</v>
      </c>
      <c r="B12" s="862"/>
      <c r="C12" s="862"/>
      <c r="D12" s="862"/>
      <c r="E12" s="863"/>
      <c r="F12" s="861" t="s">
        <v>749</v>
      </c>
      <c r="G12" s="862"/>
      <c r="H12" s="862"/>
      <c r="I12" s="862"/>
      <c r="J12" s="862"/>
      <c r="K12" s="863"/>
    </row>
    <row r="13" spans="1:11" ht="39.950000000000003" customHeight="1" thickBot="1">
      <c r="A13" s="459" t="s">
        <v>24</v>
      </c>
      <c r="B13" s="460" t="s">
        <v>25</v>
      </c>
      <c r="C13" s="461" t="s">
        <v>108</v>
      </c>
      <c r="D13" s="461" t="s">
        <v>27</v>
      </c>
      <c r="E13" s="696" t="s">
        <v>10</v>
      </c>
      <c r="F13" s="459" t="s">
        <v>24</v>
      </c>
      <c r="G13" s="460" t="s">
        <v>25</v>
      </c>
      <c r="H13" s="461" t="s">
        <v>108</v>
      </c>
      <c r="I13" s="461" t="s">
        <v>200</v>
      </c>
      <c r="J13" s="461" t="s">
        <v>655</v>
      </c>
      <c r="K13" s="696" t="s">
        <v>10</v>
      </c>
    </row>
    <row r="14" spans="1:11" ht="39.950000000000003" customHeight="1">
      <c r="A14" s="491">
        <v>1</v>
      </c>
      <c r="B14" s="487" t="s">
        <v>628</v>
      </c>
      <c r="C14" s="488">
        <v>2200000</v>
      </c>
      <c r="D14" s="488" t="s">
        <v>694</v>
      </c>
      <c r="E14" s="567" t="s">
        <v>30</v>
      </c>
      <c r="F14" s="524">
        <v>1</v>
      </c>
      <c r="G14" s="525" t="s">
        <v>448</v>
      </c>
      <c r="H14" s="526">
        <f>332600+717640</f>
        <v>1050240</v>
      </c>
      <c r="I14" s="526"/>
      <c r="J14" s="527">
        <v>44354</v>
      </c>
      <c r="K14" s="555" t="s">
        <v>695</v>
      </c>
    </row>
    <row r="15" spans="1:11" ht="39.950000000000003" customHeight="1">
      <c r="A15" s="491">
        <v>2</v>
      </c>
      <c r="B15" s="487" t="s">
        <v>696</v>
      </c>
      <c r="C15" s="488">
        <v>12100000</v>
      </c>
      <c r="D15" s="488" t="s">
        <v>697</v>
      </c>
      <c r="E15" s="475" t="s">
        <v>35</v>
      </c>
      <c r="F15" s="491">
        <v>2</v>
      </c>
      <c r="G15" s="534" t="s">
        <v>698</v>
      </c>
      <c r="H15" s="561">
        <v>608958</v>
      </c>
      <c r="I15" s="561"/>
      <c r="J15" s="562" t="s">
        <v>35</v>
      </c>
      <c r="K15" s="477" t="s">
        <v>253</v>
      </c>
    </row>
    <row r="16" spans="1:11" ht="39.950000000000003" customHeight="1">
      <c r="A16" s="491">
        <v>3</v>
      </c>
      <c r="B16" s="463" t="s">
        <v>699</v>
      </c>
      <c r="C16" s="468">
        <v>161964000</v>
      </c>
      <c r="D16" s="488" t="s">
        <v>35</v>
      </c>
      <c r="E16" s="475" t="s">
        <v>35</v>
      </c>
      <c r="F16" s="529">
        <v>3</v>
      </c>
      <c r="G16" s="500" t="s">
        <v>700</v>
      </c>
      <c r="H16" s="530">
        <v>44000</v>
      </c>
      <c r="I16" s="530"/>
      <c r="J16" s="553" t="s">
        <v>35</v>
      </c>
      <c r="K16" s="477" t="s">
        <v>37</v>
      </c>
    </row>
    <row r="17" spans="1:11" ht="39.950000000000003" customHeight="1">
      <c r="A17" s="491">
        <v>4</v>
      </c>
      <c r="B17" s="487" t="s">
        <v>701</v>
      </c>
      <c r="C17" s="488">
        <v>32670000</v>
      </c>
      <c r="D17" s="492" t="s">
        <v>702</v>
      </c>
      <c r="E17" s="475" t="s">
        <v>35</v>
      </c>
      <c r="F17" s="529">
        <v>4</v>
      </c>
      <c r="G17" s="575" t="s">
        <v>750</v>
      </c>
      <c r="H17" s="530">
        <v>500</v>
      </c>
      <c r="I17" s="530"/>
      <c r="J17" s="553" t="s">
        <v>35</v>
      </c>
      <c r="K17" s="477" t="s">
        <v>500</v>
      </c>
    </row>
    <row r="18" spans="1:11" ht="39.950000000000003" customHeight="1">
      <c r="A18" s="491">
        <v>5</v>
      </c>
      <c r="B18" s="487" t="s">
        <v>705</v>
      </c>
      <c r="C18" s="488">
        <v>38261223</v>
      </c>
      <c r="D18" s="492" t="s">
        <v>37</v>
      </c>
      <c r="E18" s="475" t="s">
        <v>35</v>
      </c>
      <c r="F18" s="529">
        <v>5</v>
      </c>
      <c r="G18" s="500" t="s">
        <v>703</v>
      </c>
      <c r="H18" s="530">
        <f>500000</f>
        <v>500000</v>
      </c>
      <c r="I18" s="530"/>
      <c r="J18" s="503">
        <v>44355</v>
      </c>
      <c r="K18" s="477" t="s">
        <v>704</v>
      </c>
    </row>
    <row r="19" spans="1:11" ht="39.950000000000003" customHeight="1">
      <c r="A19" s="491"/>
      <c r="B19" s="487"/>
      <c r="C19" s="488"/>
      <c r="D19" s="492"/>
      <c r="E19" s="475"/>
      <c r="F19" s="529">
        <v>6</v>
      </c>
      <c r="G19" s="500" t="s">
        <v>706</v>
      </c>
      <c r="H19" s="530">
        <v>329904312</v>
      </c>
      <c r="I19" s="557">
        <v>290397742</v>
      </c>
      <c r="J19" s="503">
        <v>44357</v>
      </c>
      <c r="K19" s="477" t="s">
        <v>253</v>
      </c>
    </row>
    <row r="20" spans="1:11" ht="39.950000000000003" customHeight="1">
      <c r="A20" s="491"/>
      <c r="B20" s="487"/>
      <c r="C20" s="488"/>
      <c r="D20" s="492"/>
      <c r="E20" s="475"/>
      <c r="F20" s="529">
        <v>7</v>
      </c>
      <c r="G20" s="500" t="s">
        <v>708</v>
      </c>
      <c r="H20" s="532">
        <v>8333333</v>
      </c>
      <c r="I20" s="556">
        <f>H20-(H20*3.3%)</f>
        <v>8058333.0109999999</v>
      </c>
      <c r="J20" s="531" t="s">
        <v>37</v>
      </c>
      <c r="K20" s="477" t="s">
        <v>35</v>
      </c>
    </row>
    <row r="21" spans="1:11" ht="39.950000000000003" customHeight="1">
      <c r="A21" s="529"/>
      <c r="B21" s="472"/>
      <c r="C21" s="473"/>
      <c r="D21" s="499"/>
      <c r="E21" s="475"/>
      <c r="F21" s="529">
        <v>8</v>
      </c>
      <c r="G21" s="500" t="s">
        <v>709</v>
      </c>
      <c r="H21" s="532">
        <v>5500000</v>
      </c>
      <c r="I21" s="556">
        <f t="shared" ref="I21:I24" si="0">H21-(H21*3.3%)</f>
        <v>5318500</v>
      </c>
      <c r="J21" s="531" t="s">
        <v>37</v>
      </c>
      <c r="K21" s="477" t="s">
        <v>35</v>
      </c>
    </row>
    <row r="22" spans="1:11" ht="39.950000000000003" customHeight="1">
      <c r="A22" s="529"/>
      <c r="B22" s="472"/>
      <c r="C22" s="473"/>
      <c r="D22" s="499"/>
      <c r="E22" s="475"/>
      <c r="F22" s="529">
        <v>9</v>
      </c>
      <c r="G22" s="500" t="s">
        <v>710</v>
      </c>
      <c r="H22" s="532">
        <v>6000000</v>
      </c>
      <c r="I22" s="556">
        <f t="shared" si="0"/>
        <v>5802000</v>
      </c>
      <c r="J22" s="531" t="s">
        <v>37</v>
      </c>
      <c r="K22" s="477" t="s">
        <v>35</v>
      </c>
    </row>
    <row r="23" spans="1:11" ht="39.950000000000003" customHeight="1">
      <c r="A23" s="529"/>
      <c r="B23" s="472"/>
      <c r="C23" s="473"/>
      <c r="D23" s="499"/>
      <c r="E23" s="475"/>
      <c r="F23" s="529">
        <v>10</v>
      </c>
      <c r="G23" s="500" t="s">
        <v>711</v>
      </c>
      <c r="H23" s="532">
        <v>4200000</v>
      </c>
      <c r="I23" s="556">
        <f t="shared" si="0"/>
        <v>4061400</v>
      </c>
      <c r="J23" s="531" t="s">
        <v>37</v>
      </c>
      <c r="K23" s="477" t="s">
        <v>712</v>
      </c>
    </row>
    <row r="24" spans="1:11" ht="39.950000000000003" customHeight="1">
      <c r="A24" s="529"/>
      <c r="B24" s="472"/>
      <c r="C24" s="473"/>
      <c r="D24" s="499"/>
      <c r="E24" s="475"/>
      <c r="F24" s="529">
        <v>11</v>
      </c>
      <c r="G24" s="476" t="s">
        <v>713</v>
      </c>
      <c r="H24" s="501">
        <v>4000000</v>
      </c>
      <c r="I24" s="556">
        <f t="shared" si="0"/>
        <v>3868000</v>
      </c>
      <c r="J24" s="531" t="s">
        <v>37</v>
      </c>
      <c r="K24" s="477" t="s">
        <v>35</v>
      </c>
    </row>
    <row r="25" spans="1:11" ht="39.950000000000003" customHeight="1">
      <c r="A25" s="529"/>
      <c r="B25" s="472"/>
      <c r="C25" s="473"/>
      <c r="D25" s="499"/>
      <c r="E25" s="475"/>
      <c r="F25" s="529">
        <v>12</v>
      </c>
      <c r="G25" s="476" t="s">
        <v>714</v>
      </c>
      <c r="H25" s="501">
        <v>631720</v>
      </c>
      <c r="I25" s="556">
        <f>H25-(H25*3.3%)</f>
        <v>610873.24</v>
      </c>
      <c r="J25" s="531" t="s">
        <v>37</v>
      </c>
      <c r="K25" s="558" t="s">
        <v>715</v>
      </c>
    </row>
    <row r="26" spans="1:11" ht="39.950000000000003" customHeight="1">
      <c r="A26" s="529"/>
      <c r="B26" s="472"/>
      <c r="C26" s="473"/>
      <c r="D26" s="473"/>
      <c r="E26" s="475"/>
      <c r="F26" s="529">
        <v>13</v>
      </c>
      <c r="G26" s="500" t="s">
        <v>716</v>
      </c>
      <c r="H26" s="501">
        <v>6500000</v>
      </c>
      <c r="I26" s="556">
        <f t="shared" ref="I26:I37" si="1">H26-(H26*3.3%)</f>
        <v>6285500</v>
      </c>
      <c r="J26" s="531" t="s">
        <v>37</v>
      </c>
      <c r="K26" s="477" t="s">
        <v>35</v>
      </c>
    </row>
    <row r="27" spans="1:11" ht="39.950000000000003" customHeight="1">
      <c r="A27" s="529"/>
      <c r="B27" s="472"/>
      <c r="C27" s="473"/>
      <c r="D27" s="473"/>
      <c r="E27" s="475"/>
      <c r="F27" s="529">
        <v>14</v>
      </c>
      <c r="G27" s="500" t="s">
        <v>717</v>
      </c>
      <c r="H27" s="501">
        <v>5500000</v>
      </c>
      <c r="I27" s="556">
        <f t="shared" si="1"/>
        <v>5318500</v>
      </c>
      <c r="J27" s="531" t="s">
        <v>37</v>
      </c>
      <c r="K27" s="477" t="s">
        <v>35</v>
      </c>
    </row>
    <row r="28" spans="1:11" ht="39.950000000000003" customHeight="1">
      <c r="A28" s="529"/>
      <c r="B28" s="472"/>
      <c r="C28" s="473"/>
      <c r="D28" s="473"/>
      <c r="E28" s="475"/>
      <c r="F28" s="529">
        <v>15</v>
      </c>
      <c r="G28" s="500" t="s">
        <v>718</v>
      </c>
      <c r="H28" s="501">
        <v>6000000</v>
      </c>
      <c r="I28" s="556">
        <f t="shared" si="1"/>
        <v>5802000</v>
      </c>
      <c r="J28" s="531" t="s">
        <v>37</v>
      </c>
      <c r="K28" s="477" t="s">
        <v>35</v>
      </c>
    </row>
    <row r="29" spans="1:11" ht="39.950000000000003" customHeight="1">
      <c r="A29" s="529"/>
      <c r="B29" s="472"/>
      <c r="C29" s="473"/>
      <c r="D29" s="473"/>
      <c r="E29" s="475"/>
      <c r="F29" s="529">
        <v>16</v>
      </c>
      <c r="G29" s="500" t="s">
        <v>719</v>
      </c>
      <c r="H29" s="501">
        <v>6800000</v>
      </c>
      <c r="I29" s="556">
        <f t="shared" si="1"/>
        <v>6575600</v>
      </c>
      <c r="J29" s="531" t="s">
        <v>37</v>
      </c>
      <c r="K29" s="477" t="s">
        <v>35</v>
      </c>
    </row>
    <row r="30" spans="1:11" ht="39.950000000000003" customHeight="1">
      <c r="A30" s="529"/>
      <c r="B30" s="472"/>
      <c r="C30" s="473"/>
      <c r="D30" s="473"/>
      <c r="E30" s="475"/>
      <c r="F30" s="529">
        <v>17</v>
      </c>
      <c r="G30" s="500" t="s">
        <v>720</v>
      </c>
      <c r="H30" s="532">
        <v>5800000</v>
      </c>
      <c r="I30" s="556">
        <f t="shared" si="1"/>
        <v>5608600</v>
      </c>
      <c r="J30" s="531" t="s">
        <v>37</v>
      </c>
      <c r="K30" s="477" t="s">
        <v>35</v>
      </c>
    </row>
    <row r="31" spans="1:11" ht="39.950000000000003" customHeight="1">
      <c r="A31" s="529"/>
      <c r="B31" s="472"/>
      <c r="C31" s="473"/>
      <c r="D31" s="473"/>
      <c r="E31" s="475"/>
      <c r="F31" s="529">
        <v>18</v>
      </c>
      <c r="G31" s="500" t="s">
        <v>721</v>
      </c>
      <c r="H31" s="532">
        <v>6500000</v>
      </c>
      <c r="I31" s="556">
        <f t="shared" si="1"/>
        <v>6285500</v>
      </c>
      <c r="J31" s="531" t="s">
        <v>37</v>
      </c>
      <c r="K31" s="477" t="s">
        <v>35</v>
      </c>
    </row>
    <row r="32" spans="1:11" ht="39.950000000000003" customHeight="1">
      <c r="A32" s="529"/>
      <c r="B32" s="472"/>
      <c r="C32" s="473"/>
      <c r="D32" s="473"/>
      <c r="E32" s="475"/>
      <c r="F32" s="529">
        <v>19</v>
      </c>
      <c r="G32" s="500" t="s">
        <v>722</v>
      </c>
      <c r="H32" s="532">
        <v>6000000</v>
      </c>
      <c r="I32" s="556">
        <f t="shared" si="1"/>
        <v>5802000</v>
      </c>
      <c r="J32" s="531" t="s">
        <v>37</v>
      </c>
      <c r="K32" s="477" t="s">
        <v>723</v>
      </c>
    </row>
    <row r="33" spans="1:11" ht="39.950000000000003" customHeight="1">
      <c r="A33" s="529"/>
      <c r="B33" s="472"/>
      <c r="C33" s="473"/>
      <c r="D33" s="473"/>
      <c r="E33" s="475"/>
      <c r="F33" s="529">
        <v>20</v>
      </c>
      <c r="G33" s="500" t="s">
        <v>724</v>
      </c>
      <c r="H33" s="532">
        <v>5500000</v>
      </c>
      <c r="I33" s="556">
        <f t="shared" si="1"/>
        <v>5318500</v>
      </c>
      <c r="J33" s="531" t="s">
        <v>37</v>
      </c>
      <c r="K33" s="477" t="s">
        <v>35</v>
      </c>
    </row>
    <row r="34" spans="1:11" ht="39.950000000000003" customHeight="1">
      <c r="A34" s="529"/>
      <c r="B34" s="472"/>
      <c r="C34" s="473"/>
      <c r="D34" s="473"/>
      <c r="E34" s="475"/>
      <c r="F34" s="529">
        <v>21</v>
      </c>
      <c r="G34" s="500" t="s">
        <v>725</v>
      </c>
      <c r="H34" s="532">
        <v>8000000</v>
      </c>
      <c r="I34" s="556">
        <f t="shared" si="1"/>
        <v>7736000</v>
      </c>
      <c r="J34" s="531" t="s">
        <v>37</v>
      </c>
      <c r="K34" s="477" t="s">
        <v>35</v>
      </c>
    </row>
    <row r="35" spans="1:11" ht="39.950000000000003" customHeight="1">
      <c r="A35" s="529"/>
      <c r="B35" s="472"/>
      <c r="C35" s="473"/>
      <c r="D35" s="473"/>
      <c r="E35" s="475"/>
      <c r="F35" s="529">
        <v>22</v>
      </c>
      <c r="G35" s="533" t="s">
        <v>726</v>
      </c>
      <c r="H35" s="550">
        <v>4500000</v>
      </c>
      <c r="I35" s="556">
        <f t="shared" si="1"/>
        <v>4351500</v>
      </c>
      <c r="J35" s="531" t="s">
        <v>37</v>
      </c>
      <c r="K35" s="477" t="s">
        <v>35</v>
      </c>
    </row>
    <row r="36" spans="1:11" ht="39.950000000000003" customHeight="1">
      <c r="A36" s="529"/>
      <c r="B36" s="472"/>
      <c r="C36" s="473"/>
      <c r="D36" s="473"/>
      <c r="E36" s="475"/>
      <c r="F36" s="529">
        <v>23</v>
      </c>
      <c r="G36" s="533" t="s">
        <v>727</v>
      </c>
      <c r="H36" s="532">
        <v>6000000</v>
      </c>
      <c r="I36" s="556">
        <f t="shared" si="1"/>
        <v>5802000</v>
      </c>
      <c r="J36" s="531" t="s">
        <v>37</v>
      </c>
      <c r="K36" s="477" t="s">
        <v>35</v>
      </c>
    </row>
    <row r="37" spans="1:11" ht="39.950000000000003" customHeight="1">
      <c r="A37" s="529"/>
      <c r="B37" s="472"/>
      <c r="C37" s="473"/>
      <c r="D37" s="473"/>
      <c r="E37" s="475"/>
      <c r="F37" s="529">
        <v>24</v>
      </c>
      <c r="G37" s="533" t="s">
        <v>728</v>
      </c>
      <c r="H37" s="532">
        <f>8000000</f>
        <v>8000000</v>
      </c>
      <c r="I37" s="556">
        <f t="shared" si="1"/>
        <v>7736000</v>
      </c>
      <c r="J37" s="531" t="s">
        <v>37</v>
      </c>
      <c r="K37" s="511" t="s">
        <v>729</v>
      </c>
    </row>
    <row r="38" spans="1:11" ht="39.950000000000003" customHeight="1">
      <c r="A38" s="529"/>
      <c r="B38" s="472"/>
      <c r="C38" s="473"/>
      <c r="D38" s="473"/>
      <c r="E38" s="475"/>
      <c r="F38" s="529">
        <v>25</v>
      </c>
      <c r="G38" s="500" t="s">
        <v>230</v>
      </c>
      <c r="H38" s="532">
        <v>9350000</v>
      </c>
      <c r="I38" s="556">
        <f>H38</f>
        <v>9350000</v>
      </c>
      <c r="J38" s="531" t="s">
        <v>37</v>
      </c>
      <c r="K38" s="477" t="s">
        <v>35</v>
      </c>
    </row>
    <row r="39" spans="1:11" ht="39.950000000000003" customHeight="1">
      <c r="A39" s="529"/>
      <c r="B39" s="472"/>
      <c r="C39" s="473"/>
      <c r="D39" s="473"/>
      <c r="E39" s="475"/>
      <c r="F39" s="529">
        <v>26</v>
      </c>
      <c r="G39" s="500" t="s">
        <v>730</v>
      </c>
      <c r="H39" s="532">
        <v>17395484</v>
      </c>
      <c r="I39" s="556">
        <f>H39</f>
        <v>17395484</v>
      </c>
      <c r="J39" s="531" t="s">
        <v>37</v>
      </c>
      <c r="K39" s="477" t="s">
        <v>731</v>
      </c>
    </row>
    <row r="40" spans="1:11" ht="39.950000000000003" customHeight="1">
      <c r="A40" s="529"/>
      <c r="B40" s="472"/>
      <c r="C40" s="473"/>
      <c r="D40" s="473"/>
      <c r="E40" s="475"/>
      <c r="F40" s="529">
        <v>27</v>
      </c>
      <c r="G40" s="500" t="s">
        <v>732</v>
      </c>
      <c r="H40" s="532">
        <v>1738709</v>
      </c>
      <c r="I40" s="556">
        <f>H40</f>
        <v>1738709</v>
      </c>
      <c r="J40" s="531" t="s">
        <v>37</v>
      </c>
      <c r="K40" s="477" t="s">
        <v>733</v>
      </c>
    </row>
    <row r="41" spans="1:11" ht="39.950000000000003" customHeight="1">
      <c r="A41" s="529"/>
      <c r="B41" s="472"/>
      <c r="C41" s="473"/>
      <c r="D41" s="473"/>
      <c r="E41" s="475"/>
      <c r="F41" s="529">
        <v>28</v>
      </c>
      <c r="G41" s="500" t="s">
        <v>734</v>
      </c>
      <c r="H41" s="532">
        <v>5074190</v>
      </c>
      <c r="I41" s="556">
        <f>H41</f>
        <v>5074190</v>
      </c>
      <c r="J41" s="531" t="s">
        <v>37</v>
      </c>
      <c r="K41" s="558" t="s">
        <v>735</v>
      </c>
    </row>
    <row r="42" spans="1:11" ht="39.950000000000003" customHeight="1">
      <c r="A42" s="529"/>
      <c r="B42" s="472"/>
      <c r="C42" s="473"/>
      <c r="D42" s="473"/>
      <c r="E42" s="475"/>
      <c r="F42" s="529">
        <v>29</v>
      </c>
      <c r="G42" s="500" t="s">
        <v>235</v>
      </c>
      <c r="H42" s="532">
        <f>11764530+2838980+630640+1459960</f>
        <v>16694110</v>
      </c>
      <c r="I42" s="532"/>
      <c r="J42" s="531" t="s">
        <v>37</v>
      </c>
      <c r="K42" s="477" t="s">
        <v>35</v>
      </c>
    </row>
    <row r="43" spans="1:11" ht="39.950000000000003" customHeight="1">
      <c r="A43" s="529"/>
      <c r="B43" s="472"/>
      <c r="C43" s="473"/>
      <c r="D43" s="473"/>
      <c r="E43" s="475"/>
      <c r="F43" s="529">
        <v>30</v>
      </c>
      <c r="G43" s="500" t="s">
        <v>738</v>
      </c>
      <c r="H43" s="532">
        <v>23376800</v>
      </c>
      <c r="I43" s="532"/>
      <c r="J43" s="531" t="s">
        <v>37</v>
      </c>
      <c r="K43" s="477" t="s">
        <v>35</v>
      </c>
    </row>
    <row r="44" spans="1:11" ht="39.950000000000003" customHeight="1">
      <c r="A44" s="529"/>
      <c r="B44" s="472"/>
      <c r="C44" s="473"/>
      <c r="D44" s="473"/>
      <c r="E44" s="475"/>
      <c r="F44" s="529">
        <v>31</v>
      </c>
      <c r="G44" s="500" t="s">
        <v>739</v>
      </c>
      <c r="H44" s="532">
        <v>24159980</v>
      </c>
      <c r="I44" s="532"/>
      <c r="J44" s="531" t="s">
        <v>37</v>
      </c>
      <c r="K44" s="477" t="s">
        <v>35</v>
      </c>
    </row>
    <row r="45" spans="1:11" ht="39.950000000000003" customHeight="1">
      <c r="A45" s="529"/>
      <c r="B45" s="472"/>
      <c r="C45" s="473"/>
      <c r="D45" s="473"/>
      <c r="E45" s="475"/>
      <c r="F45" s="529">
        <v>32</v>
      </c>
      <c r="G45" s="500" t="s">
        <v>740</v>
      </c>
      <c r="H45" s="532">
        <v>5515160</v>
      </c>
      <c r="I45" s="532"/>
      <c r="J45" s="531" t="s">
        <v>37</v>
      </c>
      <c r="K45" s="477" t="s">
        <v>35</v>
      </c>
    </row>
    <row r="46" spans="1:11" ht="39.950000000000003" customHeight="1">
      <c r="A46" s="529"/>
      <c r="B46" s="472"/>
      <c r="C46" s="473"/>
      <c r="D46" s="473"/>
      <c r="E46" s="475"/>
      <c r="F46" s="529">
        <v>33</v>
      </c>
      <c r="G46" s="500" t="s">
        <v>741</v>
      </c>
      <c r="H46" s="532">
        <v>1916600</v>
      </c>
      <c r="I46" s="532"/>
      <c r="J46" s="531" t="s">
        <v>37</v>
      </c>
      <c r="K46" s="477" t="s">
        <v>35</v>
      </c>
    </row>
    <row r="47" spans="1:11" ht="39.950000000000003" customHeight="1">
      <c r="A47" s="529"/>
      <c r="B47" s="472"/>
      <c r="C47" s="473"/>
      <c r="D47" s="473"/>
      <c r="E47" s="475"/>
      <c r="F47" s="529">
        <v>34</v>
      </c>
      <c r="G47" s="500" t="s">
        <v>742</v>
      </c>
      <c r="H47" s="532">
        <f>485200</f>
        <v>485200</v>
      </c>
      <c r="I47" s="532"/>
      <c r="J47" s="531" t="s">
        <v>37</v>
      </c>
      <c r="K47" s="477" t="s">
        <v>35</v>
      </c>
    </row>
    <row r="48" spans="1:11" ht="39.950000000000003" customHeight="1">
      <c r="A48" s="529"/>
      <c r="B48" s="472"/>
      <c r="C48" s="473"/>
      <c r="D48" s="473"/>
      <c r="E48" s="475"/>
      <c r="F48" s="535">
        <v>35</v>
      </c>
      <c r="G48" s="559" t="s">
        <v>751</v>
      </c>
      <c r="H48" s="538">
        <v>268383</v>
      </c>
      <c r="I48" s="538"/>
      <c r="J48" s="508">
        <v>44358</v>
      </c>
      <c r="K48" s="509" t="s">
        <v>35</v>
      </c>
    </row>
    <row r="49" spans="1:11" ht="39.950000000000003" customHeight="1">
      <c r="A49" s="529"/>
      <c r="B49" s="472"/>
      <c r="C49" s="473"/>
      <c r="D49" s="473"/>
      <c r="E49" s="475"/>
      <c r="F49" s="491">
        <v>36</v>
      </c>
      <c r="G49" s="484" t="s">
        <v>752</v>
      </c>
      <c r="H49" s="536">
        <f>64200</f>
        <v>64200</v>
      </c>
      <c r="I49" s="536"/>
      <c r="J49" s="576">
        <v>44354</v>
      </c>
      <c r="K49" s="568" t="s">
        <v>668</v>
      </c>
    </row>
    <row r="50" spans="1:11" ht="39.950000000000003" customHeight="1">
      <c r="A50" s="529"/>
      <c r="B50" s="472"/>
      <c r="C50" s="473"/>
      <c r="D50" s="473"/>
      <c r="E50" s="475"/>
      <c r="F50" s="529">
        <v>37</v>
      </c>
      <c r="G50" s="570" t="s">
        <v>753</v>
      </c>
      <c r="H50" s="532">
        <f>1245330</f>
        <v>1245330</v>
      </c>
      <c r="I50" s="532"/>
      <c r="J50" s="503">
        <v>44355</v>
      </c>
      <c r="K50" s="563" t="s">
        <v>35</v>
      </c>
    </row>
    <row r="51" spans="1:11" ht="39.950000000000003" customHeight="1">
      <c r="A51" s="529"/>
      <c r="B51" s="472"/>
      <c r="C51" s="473"/>
      <c r="D51" s="473"/>
      <c r="E51" s="475"/>
      <c r="F51" s="529">
        <v>38</v>
      </c>
      <c r="G51" s="570" t="s">
        <v>754</v>
      </c>
      <c r="H51" s="532">
        <f>-72100</f>
        <v>-72100</v>
      </c>
      <c r="I51" s="532"/>
      <c r="J51" s="503" t="s">
        <v>35</v>
      </c>
      <c r="K51" s="563" t="s">
        <v>35</v>
      </c>
    </row>
    <row r="52" spans="1:11" ht="39.950000000000003" customHeight="1">
      <c r="A52" s="529"/>
      <c r="B52" s="472"/>
      <c r="C52" s="473"/>
      <c r="D52" s="473"/>
      <c r="E52" s="475"/>
      <c r="F52" s="529">
        <v>39</v>
      </c>
      <c r="G52" s="570" t="s">
        <v>687</v>
      </c>
      <c r="H52" s="532">
        <f>3162570</f>
        <v>3162570</v>
      </c>
      <c r="I52" s="532"/>
      <c r="J52" s="503" t="s">
        <v>35</v>
      </c>
      <c r="K52" s="563" t="s">
        <v>35</v>
      </c>
    </row>
    <row r="53" spans="1:11" ht="39.950000000000003" customHeight="1">
      <c r="A53" s="529"/>
      <c r="B53" s="472"/>
      <c r="C53" s="473"/>
      <c r="D53" s="473"/>
      <c r="E53" s="475"/>
      <c r="F53" s="529">
        <v>40</v>
      </c>
      <c r="G53" s="570" t="s">
        <v>755</v>
      </c>
      <c r="H53" s="532">
        <f>495000</f>
        <v>495000</v>
      </c>
      <c r="I53" s="532"/>
      <c r="J53" s="503" t="s">
        <v>35</v>
      </c>
      <c r="K53" s="563" t="s">
        <v>35</v>
      </c>
    </row>
    <row r="54" spans="1:11" ht="39.950000000000003" customHeight="1">
      <c r="A54" s="529"/>
      <c r="B54" s="472"/>
      <c r="C54" s="473"/>
      <c r="D54" s="473"/>
      <c r="E54" s="475"/>
      <c r="F54" s="529">
        <v>41</v>
      </c>
      <c r="G54" s="570" t="s">
        <v>756</v>
      </c>
      <c r="H54" s="532">
        <f>149500</f>
        <v>149500</v>
      </c>
      <c r="I54" s="532"/>
      <c r="J54" s="503">
        <v>44356</v>
      </c>
      <c r="K54" s="563" t="s">
        <v>35</v>
      </c>
    </row>
    <row r="55" spans="1:11" ht="39.950000000000003" customHeight="1">
      <c r="A55" s="529"/>
      <c r="B55" s="472"/>
      <c r="C55" s="473"/>
      <c r="D55" s="473"/>
      <c r="E55" s="475"/>
      <c r="F55" s="529">
        <v>42</v>
      </c>
      <c r="G55" s="570" t="s">
        <v>757</v>
      </c>
      <c r="H55" s="532">
        <f>33000</f>
        <v>33000</v>
      </c>
      <c r="I55" s="532"/>
      <c r="J55" s="503" t="s">
        <v>35</v>
      </c>
      <c r="K55" s="563" t="s">
        <v>35</v>
      </c>
    </row>
    <row r="56" spans="1:11" ht="39.950000000000003" customHeight="1">
      <c r="A56" s="529"/>
      <c r="B56" s="472"/>
      <c r="C56" s="473"/>
      <c r="D56" s="473"/>
      <c r="E56" s="475"/>
      <c r="F56" s="529">
        <v>43</v>
      </c>
      <c r="G56" s="476" t="s">
        <v>758</v>
      </c>
      <c r="H56" s="532">
        <f>3690</f>
        <v>3690</v>
      </c>
      <c r="I56" s="532"/>
      <c r="J56" s="503">
        <v>44357</v>
      </c>
      <c r="K56" s="563" t="s">
        <v>35</v>
      </c>
    </row>
    <row r="57" spans="1:11" ht="39.950000000000003" customHeight="1">
      <c r="A57" s="529"/>
      <c r="B57" s="472"/>
      <c r="C57" s="473"/>
      <c r="D57" s="473"/>
      <c r="E57" s="475"/>
      <c r="F57" s="529">
        <v>44</v>
      </c>
      <c r="G57" s="476" t="s">
        <v>759</v>
      </c>
      <c r="H57" s="532">
        <f>21850</f>
        <v>21850</v>
      </c>
      <c r="I57" s="532"/>
      <c r="J57" s="503">
        <v>44358</v>
      </c>
      <c r="K57" s="563" t="s">
        <v>35</v>
      </c>
    </row>
    <row r="58" spans="1:11" ht="39.950000000000003" customHeight="1">
      <c r="A58" s="529"/>
      <c r="B58" s="472"/>
      <c r="C58" s="473"/>
      <c r="D58" s="473"/>
      <c r="E58" s="475"/>
      <c r="F58" s="529">
        <v>45</v>
      </c>
      <c r="G58" s="570" t="s">
        <v>760</v>
      </c>
      <c r="H58" s="532">
        <v>-3230620</v>
      </c>
      <c r="I58" s="532"/>
      <c r="J58" s="503" t="s">
        <v>35</v>
      </c>
      <c r="K58" s="563" t="s">
        <v>35</v>
      </c>
    </row>
    <row r="59" spans="1:11" ht="39.950000000000003" customHeight="1" thickBot="1">
      <c r="A59" s="529"/>
      <c r="B59" s="472"/>
      <c r="C59" s="473"/>
      <c r="D59" s="473"/>
      <c r="E59" s="475"/>
      <c r="F59" s="529">
        <v>46</v>
      </c>
      <c r="G59" s="571" t="s">
        <v>761</v>
      </c>
      <c r="H59" s="501" t="s">
        <v>762</v>
      </c>
      <c r="I59" s="532"/>
      <c r="J59" s="503">
        <v>44359</v>
      </c>
      <c r="K59" s="563"/>
    </row>
    <row r="60" spans="1:11" ht="39.950000000000003" customHeight="1" thickBot="1">
      <c r="A60" s="513"/>
      <c r="B60" s="514" t="s">
        <v>72</v>
      </c>
      <c r="C60" s="515">
        <f>SUM(C14:C59)</f>
        <v>247195223</v>
      </c>
      <c r="D60" s="516"/>
      <c r="E60" s="517"/>
      <c r="F60" s="518"/>
      <c r="G60" s="514" t="s">
        <v>72</v>
      </c>
      <c r="H60" s="519">
        <f>SUM(H14:H48)</f>
        <v>541847679</v>
      </c>
      <c r="I60" s="519">
        <f>SUM(H14:H18,I19:I41,H42:H48)</f>
        <v>498916862.25099999</v>
      </c>
      <c r="J60" s="520" t="s">
        <v>73</v>
      </c>
      <c r="K60" s="521"/>
    </row>
    <row r="61" spans="1:11" ht="39.950000000000003" customHeight="1" thickBot="1">
      <c r="A61" s="856" t="s">
        <v>74</v>
      </c>
      <c r="B61" s="857"/>
      <c r="C61" s="857"/>
      <c r="D61" s="857"/>
      <c r="E61" s="857"/>
      <c r="F61" s="857"/>
      <c r="G61" s="857"/>
      <c r="H61" s="695"/>
      <c r="I61" s="695"/>
      <c r="J61" s="522"/>
      <c r="K61" s="522"/>
    </row>
    <row r="62" spans="1:11" ht="39.950000000000003" customHeight="1" thickBot="1">
      <c r="A62" s="858" t="s">
        <v>763</v>
      </c>
      <c r="B62" s="859"/>
      <c r="C62" s="859"/>
      <c r="D62" s="859"/>
      <c r="E62" s="860"/>
      <c r="F62" s="861" t="s">
        <v>764</v>
      </c>
      <c r="G62" s="862"/>
      <c r="H62" s="862"/>
      <c r="I62" s="862"/>
      <c r="J62" s="862"/>
      <c r="K62" s="863"/>
    </row>
    <row r="63" spans="1:11" ht="39.950000000000003" customHeight="1" thickBot="1">
      <c r="A63" s="459" t="s">
        <v>24</v>
      </c>
      <c r="B63" s="460" t="s">
        <v>25</v>
      </c>
      <c r="C63" s="461" t="s">
        <v>108</v>
      </c>
      <c r="D63" s="461" t="s">
        <v>27</v>
      </c>
      <c r="E63" s="696" t="s">
        <v>10</v>
      </c>
      <c r="F63" s="523" t="s">
        <v>24</v>
      </c>
      <c r="G63" s="460" t="s">
        <v>25</v>
      </c>
      <c r="H63" s="461" t="s">
        <v>108</v>
      </c>
      <c r="I63" s="461" t="s">
        <v>200</v>
      </c>
      <c r="J63" s="461" t="s">
        <v>655</v>
      </c>
      <c r="K63" s="696" t="s">
        <v>10</v>
      </c>
    </row>
    <row r="64" spans="1:11" ht="39.950000000000003" customHeight="1">
      <c r="A64" s="491">
        <v>1</v>
      </c>
      <c r="B64" s="487" t="s">
        <v>615</v>
      </c>
      <c r="C64" s="488">
        <v>11957000</v>
      </c>
      <c r="D64" s="492" t="s">
        <v>765</v>
      </c>
      <c r="E64" s="490"/>
      <c r="F64" s="524">
        <v>1</v>
      </c>
      <c r="G64" s="525" t="s">
        <v>100</v>
      </c>
      <c r="H64" s="526">
        <v>11000</v>
      </c>
      <c r="I64" s="526"/>
      <c r="J64" s="527">
        <v>44364</v>
      </c>
      <c r="K64" s="555"/>
    </row>
    <row r="65" spans="1:11" ht="39.950000000000003" customHeight="1">
      <c r="A65" s="491">
        <v>2</v>
      </c>
      <c r="B65" s="487" t="s">
        <v>766</v>
      </c>
      <c r="C65" s="488">
        <v>2400000</v>
      </c>
      <c r="D65" s="488" t="s">
        <v>767</v>
      </c>
      <c r="E65" s="490"/>
      <c r="F65" s="491">
        <v>2</v>
      </c>
      <c r="G65" s="534" t="s">
        <v>768</v>
      </c>
      <c r="H65" s="561">
        <v>35035</v>
      </c>
      <c r="I65" s="561"/>
      <c r="J65" s="562">
        <v>44368</v>
      </c>
      <c r="K65" s="477"/>
    </row>
    <row r="66" spans="1:11" ht="39.950000000000003" customHeight="1">
      <c r="A66" s="491"/>
      <c r="B66" s="463"/>
      <c r="C66" s="468"/>
      <c r="D66" s="488"/>
      <c r="E66" s="490"/>
      <c r="F66" s="529">
        <v>3</v>
      </c>
      <c r="G66" s="500" t="s">
        <v>769</v>
      </c>
      <c r="H66" s="530">
        <v>132000</v>
      </c>
      <c r="I66" s="530"/>
      <c r="J66" s="553" t="s">
        <v>35</v>
      </c>
      <c r="K66" s="477"/>
    </row>
    <row r="67" spans="1:11" ht="39.950000000000003" customHeight="1">
      <c r="A67" s="491"/>
      <c r="B67" s="487"/>
      <c r="C67" s="488"/>
      <c r="D67" s="492"/>
      <c r="E67" s="490"/>
      <c r="F67" s="529"/>
      <c r="G67" s="500"/>
      <c r="H67" s="530"/>
      <c r="I67" s="530"/>
      <c r="J67" s="503"/>
      <c r="K67" s="477"/>
    </row>
    <row r="68" spans="1:11" ht="39.950000000000003" customHeight="1">
      <c r="A68" s="491"/>
      <c r="B68" s="487"/>
      <c r="C68" s="488"/>
      <c r="D68" s="492"/>
      <c r="E68" s="490"/>
      <c r="F68" s="529"/>
      <c r="G68" s="500"/>
      <c r="H68" s="530"/>
      <c r="I68" s="530"/>
      <c r="J68" s="503"/>
      <c r="K68" s="477"/>
    </row>
    <row r="69" spans="1:11" ht="39.950000000000003" customHeight="1">
      <c r="A69" s="491"/>
      <c r="B69" s="487"/>
      <c r="C69" s="488"/>
      <c r="D69" s="492"/>
      <c r="E69" s="490"/>
      <c r="F69" s="529"/>
      <c r="G69" s="500"/>
      <c r="H69" s="532"/>
      <c r="I69" s="488"/>
      <c r="J69" s="531"/>
      <c r="K69" s="477"/>
    </row>
    <row r="70" spans="1:11" ht="39.950000000000003" customHeight="1">
      <c r="A70" s="491"/>
      <c r="B70" s="463"/>
      <c r="C70" s="468"/>
      <c r="D70" s="488"/>
      <c r="E70" s="490"/>
      <c r="F70" s="529"/>
      <c r="G70" s="500"/>
      <c r="H70" s="532"/>
      <c r="I70" s="488"/>
      <c r="J70" s="531"/>
      <c r="K70" s="477"/>
    </row>
    <row r="71" spans="1:11" ht="39.950000000000003" customHeight="1">
      <c r="A71" s="491"/>
      <c r="B71" s="487"/>
      <c r="C71" s="488"/>
      <c r="D71" s="488"/>
      <c r="E71" s="490"/>
      <c r="F71" s="529"/>
      <c r="G71" s="500"/>
      <c r="H71" s="532"/>
      <c r="I71" s="488"/>
      <c r="J71" s="531"/>
      <c r="K71" s="477"/>
    </row>
    <row r="72" spans="1:11" ht="39.950000000000003" customHeight="1">
      <c r="A72" s="529"/>
      <c r="B72" s="487"/>
      <c r="C72" s="488"/>
      <c r="D72" s="492"/>
      <c r="E72" s="475"/>
      <c r="F72" s="529"/>
      <c r="G72" s="500"/>
      <c r="H72" s="532"/>
      <c r="I72" s="488"/>
      <c r="J72" s="531"/>
      <c r="K72" s="477"/>
    </row>
    <row r="73" spans="1:11" ht="39.950000000000003" customHeight="1">
      <c r="A73" s="491"/>
      <c r="B73" s="487"/>
      <c r="C73" s="488"/>
      <c r="D73" s="492"/>
      <c r="E73" s="490"/>
      <c r="F73" s="529"/>
      <c r="G73" s="500"/>
      <c r="H73" s="501"/>
      <c r="I73" s="488"/>
      <c r="J73" s="531"/>
      <c r="K73" s="477"/>
    </row>
    <row r="74" spans="1:11" ht="39.950000000000003" customHeight="1">
      <c r="A74" s="491"/>
      <c r="B74" s="487"/>
      <c r="C74" s="488"/>
      <c r="D74" s="492"/>
      <c r="E74" s="490"/>
      <c r="F74" s="529"/>
      <c r="G74" s="500"/>
      <c r="H74" s="501"/>
      <c r="I74" s="488"/>
      <c r="J74" s="531"/>
      <c r="K74" s="558"/>
    </row>
    <row r="75" spans="1:11" ht="39.950000000000003" customHeight="1">
      <c r="A75" s="529"/>
      <c r="B75" s="487"/>
      <c r="C75" s="488"/>
      <c r="D75" s="488"/>
      <c r="E75" s="475"/>
      <c r="F75" s="529"/>
      <c r="G75" s="500"/>
      <c r="H75" s="501"/>
      <c r="I75" s="488"/>
      <c r="J75" s="503"/>
      <c r="K75" s="477"/>
    </row>
    <row r="76" spans="1:11" ht="39.950000000000003" customHeight="1">
      <c r="A76" s="529"/>
      <c r="B76" s="472"/>
      <c r="C76" s="473"/>
      <c r="D76" s="473"/>
      <c r="E76" s="475"/>
      <c r="F76" s="529"/>
      <c r="G76" s="500"/>
      <c r="H76" s="501"/>
      <c r="I76" s="488"/>
      <c r="J76" s="503"/>
      <c r="K76" s="477"/>
    </row>
    <row r="77" spans="1:11" ht="39.950000000000003" customHeight="1">
      <c r="A77" s="529"/>
      <c r="B77" s="472"/>
      <c r="C77" s="473"/>
      <c r="D77" s="473"/>
      <c r="E77" s="475"/>
      <c r="F77" s="529"/>
      <c r="G77" s="500"/>
      <c r="H77" s="501"/>
      <c r="I77" s="488"/>
      <c r="J77" s="503"/>
      <c r="K77" s="477"/>
    </row>
    <row r="78" spans="1:11" ht="39.950000000000003" customHeight="1">
      <c r="A78" s="529"/>
      <c r="B78" s="472"/>
      <c r="C78" s="473"/>
      <c r="D78" s="473"/>
      <c r="E78" s="475"/>
      <c r="F78" s="529"/>
      <c r="G78" s="500"/>
      <c r="H78" s="501"/>
      <c r="I78" s="488"/>
      <c r="J78" s="503"/>
      <c r="K78" s="477"/>
    </row>
    <row r="79" spans="1:11" ht="39.950000000000003" customHeight="1">
      <c r="A79" s="529"/>
      <c r="B79" s="472"/>
      <c r="C79" s="473"/>
      <c r="D79" s="473"/>
      <c r="E79" s="475"/>
      <c r="F79" s="529"/>
      <c r="G79" s="500"/>
      <c r="H79" s="532"/>
      <c r="I79" s="488"/>
      <c r="J79" s="531"/>
      <c r="K79" s="477"/>
    </row>
    <row r="80" spans="1:11" ht="39.950000000000003" customHeight="1">
      <c r="A80" s="529"/>
      <c r="B80" s="472"/>
      <c r="C80" s="473"/>
      <c r="D80" s="473"/>
      <c r="E80" s="475"/>
      <c r="F80" s="529"/>
      <c r="G80" s="500"/>
      <c r="H80" s="532"/>
      <c r="I80" s="488"/>
      <c r="J80" s="531"/>
      <c r="K80" s="477"/>
    </row>
    <row r="81" spans="1:11" ht="39.950000000000003" customHeight="1">
      <c r="A81" s="529"/>
      <c r="B81" s="472"/>
      <c r="C81" s="473"/>
      <c r="D81" s="473"/>
      <c r="E81" s="475"/>
      <c r="F81" s="529"/>
      <c r="G81" s="500"/>
      <c r="H81" s="532"/>
      <c r="I81" s="488"/>
      <c r="J81" s="531"/>
      <c r="K81" s="477"/>
    </row>
    <row r="82" spans="1:11" ht="39.950000000000003" customHeight="1">
      <c r="A82" s="529"/>
      <c r="B82" s="472"/>
      <c r="C82" s="473"/>
      <c r="D82" s="473"/>
      <c r="E82" s="475"/>
      <c r="F82" s="529"/>
      <c r="G82" s="500"/>
      <c r="H82" s="532"/>
      <c r="I82" s="488"/>
      <c r="J82" s="531"/>
      <c r="K82" s="358"/>
    </row>
    <row r="83" spans="1:11" ht="39.950000000000003" customHeight="1">
      <c r="A83" s="529"/>
      <c r="B83" s="472"/>
      <c r="C83" s="473"/>
      <c r="D83" s="473"/>
      <c r="E83" s="475"/>
      <c r="F83" s="529"/>
      <c r="G83" s="500"/>
      <c r="H83" s="532"/>
      <c r="I83" s="488"/>
      <c r="J83" s="531"/>
      <c r="K83" s="358"/>
    </row>
    <row r="84" spans="1:11" ht="39.950000000000003" customHeight="1">
      <c r="A84" s="491"/>
      <c r="B84" s="463"/>
      <c r="C84" s="468"/>
      <c r="D84" s="488"/>
      <c r="E84" s="490"/>
      <c r="F84" s="529"/>
      <c r="G84" s="533"/>
      <c r="H84" s="532"/>
      <c r="I84" s="488"/>
      <c r="J84" s="531"/>
      <c r="K84" s="477"/>
    </row>
    <row r="85" spans="1:11" ht="39.950000000000003" customHeight="1">
      <c r="A85" s="491"/>
      <c r="B85" s="487"/>
      <c r="C85" s="488"/>
      <c r="D85" s="488"/>
      <c r="E85" s="490"/>
      <c r="F85" s="529"/>
      <c r="G85" s="533"/>
      <c r="H85" s="532"/>
      <c r="I85" s="488"/>
      <c r="J85" s="531"/>
      <c r="K85" s="477"/>
    </row>
    <row r="86" spans="1:11" ht="39.950000000000003" customHeight="1">
      <c r="A86" s="491"/>
      <c r="B86" s="487"/>
      <c r="C86" s="488"/>
      <c r="D86" s="488"/>
      <c r="E86" s="490"/>
      <c r="F86" s="529"/>
      <c r="G86" s="533"/>
      <c r="H86" s="532"/>
      <c r="I86" s="488"/>
      <c r="J86" s="531"/>
      <c r="K86" s="477"/>
    </row>
    <row r="87" spans="1:11" ht="39.950000000000003" customHeight="1">
      <c r="A87" s="529"/>
      <c r="B87" s="472"/>
      <c r="C87" s="473"/>
      <c r="D87" s="473"/>
      <c r="E87" s="475"/>
      <c r="F87" s="529"/>
      <c r="G87" s="500"/>
      <c r="H87" s="532"/>
      <c r="I87" s="488"/>
      <c r="J87" s="531"/>
      <c r="K87" s="477"/>
    </row>
    <row r="88" spans="1:11" ht="39.950000000000003" customHeight="1">
      <c r="A88" s="529"/>
      <c r="B88" s="472"/>
      <c r="C88" s="473"/>
      <c r="D88" s="473"/>
      <c r="E88" s="475"/>
      <c r="F88" s="529"/>
      <c r="G88" s="500"/>
      <c r="H88" s="532"/>
      <c r="I88" s="488"/>
      <c r="J88" s="531"/>
      <c r="K88" s="477"/>
    </row>
    <row r="89" spans="1:11" ht="39.950000000000003" customHeight="1">
      <c r="A89" s="529"/>
      <c r="B89" s="472"/>
      <c r="C89" s="473"/>
      <c r="D89" s="473"/>
      <c r="E89" s="475"/>
      <c r="F89" s="529"/>
      <c r="G89" s="500"/>
      <c r="H89" s="532"/>
      <c r="I89" s="488"/>
      <c r="J89" s="531"/>
      <c r="K89" s="477"/>
    </row>
    <row r="90" spans="1:11" ht="39.950000000000003" customHeight="1">
      <c r="A90" s="529"/>
      <c r="B90" s="472"/>
      <c r="C90" s="473"/>
      <c r="D90" s="473"/>
      <c r="E90" s="475"/>
      <c r="F90" s="529"/>
      <c r="G90" s="500"/>
      <c r="H90" s="532"/>
      <c r="I90" s="488"/>
      <c r="J90" s="531"/>
      <c r="K90" s="558"/>
    </row>
    <row r="91" spans="1:11" ht="39.950000000000003" customHeight="1">
      <c r="A91" s="529"/>
      <c r="B91" s="472"/>
      <c r="C91" s="473"/>
      <c r="D91" s="473"/>
      <c r="E91" s="475"/>
      <c r="F91" s="529"/>
      <c r="G91" s="500"/>
      <c r="H91" s="532"/>
      <c r="I91" s="488"/>
      <c r="J91" s="531"/>
      <c r="K91" s="558"/>
    </row>
    <row r="92" spans="1:11" ht="39.950000000000003" customHeight="1">
      <c r="A92" s="529"/>
      <c r="B92" s="472"/>
      <c r="C92" s="473"/>
      <c r="D92" s="473"/>
      <c r="E92" s="475"/>
      <c r="F92" s="529"/>
      <c r="G92" s="500"/>
      <c r="H92" s="532"/>
      <c r="I92" s="532"/>
      <c r="J92" s="531"/>
      <c r="K92" s="477"/>
    </row>
    <row r="93" spans="1:11" ht="39.950000000000003" customHeight="1">
      <c r="A93" s="529"/>
      <c r="B93" s="472"/>
      <c r="C93" s="473"/>
      <c r="D93" s="473"/>
      <c r="E93" s="475"/>
      <c r="F93" s="529"/>
      <c r="G93" s="500"/>
      <c r="H93" s="532"/>
      <c r="I93" s="532"/>
      <c r="J93" s="531"/>
      <c r="K93" s="477"/>
    </row>
    <row r="94" spans="1:11" ht="39.950000000000003" customHeight="1">
      <c r="A94" s="529"/>
      <c r="B94" s="472"/>
      <c r="C94" s="473"/>
      <c r="D94" s="473"/>
      <c r="E94" s="475"/>
      <c r="F94" s="529"/>
      <c r="G94" s="500"/>
      <c r="H94" s="532"/>
      <c r="I94" s="532"/>
      <c r="J94" s="531"/>
      <c r="K94" s="477"/>
    </row>
    <row r="95" spans="1:11" ht="39.950000000000003" customHeight="1">
      <c r="A95" s="529"/>
      <c r="B95" s="472"/>
      <c r="C95" s="473"/>
      <c r="D95" s="473"/>
      <c r="E95" s="475"/>
      <c r="F95" s="529"/>
      <c r="G95" s="500"/>
      <c r="H95" s="532"/>
      <c r="I95" s="532"/>
      <c r="J95" s="531"/>
      <c r="K95" s="477"/>
    </row>
    <row r="96" spans="1:11" ht="39.950000000000003" customHeight="1">
      <c r="A96" s="529"/>
      <c r="B96" s="472"/>
      <c r="C96" s="473"/>
      <c r="D96" s="473"/>
      <c r="E96" s="475"/>
      <c r="F96" s="529"/>
      <c r="G96" s="500"/>
      <c r="H96" s="532"/>
      <c r="I96" s="532"/>
      <c r="J96" s="531"/>
      <c r="K96" s="477"/>
    </row>
    <row r="97" spans="1:11" ht="39.950000000000003" customHeight="1">
      <c r="A97" s="529"/>
      <c r="B97" s="472"/>
      <c r="C97" s="473"/>
      <c r="D97" s="473"/>
      <c r="E97" s="475"/>
      <c r="F97" s="529"/>
      <c r="G97" s="500"/>
      <c r="H97" s="532"/>
      <c r="I97" s="532"/>
      <c r="J97" s="531"/>
      <c r="K97" s="477"/>
    </row>
    <row r="98" spans="1:11" ht="39.950000000000003" customHeight="1">
      <c r="A98" s="529"/>
      <c r="B98" s="472"/>
      <c r="C98" s="473"/>
      <c r="D98" s="473"/>
      <c r="E98" s="475"/>
      <c r="F98" s="529"/>
      <c r="G98" s="500"/>
      <c r="H98" s="532"/>
      <c r="I98" s="532"/>
      <c r="J98" s="531"/>
      <c r="K98" s="477"/>
    </row>
    <row r="99" spans="1:11" ht="39.950000000000003" customHeight="1">
      <c r="A99" s="529"/>
      <c r="B99" s="472"/>
      <c r="C99" s="473"/>
      <c r="D99" s="473"/>
      <c r="E99" s="475"/>
      <c r="F99" s="529"/>
      <c r="G99" s="500"/>
      <c r="H99" s="532"/>
      <c r="I99" s="532"/>
      <c r="J99" s="531"/>
      <c r="K99" s="477"/>
    </row>
    <row r="100" spans="1:11" ht="39.950000000000003" customHeight="1">
      <c r="A100" s="529"/>
      <c r="B100" s="472"/>
      <c r="C100" s="473"/>
      <c r="D100" s="473"/>
      <c r="E100" s="475"/>
      <c r="F100" s="529"/>
      <c r="G100" s="500"/>
      <c r="H100" s="532"/>
      <c r="I100" s="532"/>
      <c r="J100" s="531"/>
      <c r="K100" s="477"/>
    </row>
    <row r="101" spans="1:11" ht="39.950000000000003" customHeight="1" thickBot="1">
      <c r="A101" s="540"/>
      <c r="B101" s="541"/>
      <c r="C101" s="542"/>
      <c r="D101" s="542"/>
      <c r="E101" s="543"/>
      <c r="F101" s="529"/>
      <c r="G101" s="574"/>
      <c r="H101" s="552"/>
      <c r="I101" s="552"/>
      <c r="J101" s="531"/>
      <c r="K101" s="554"/>
    </row>
    <row r="102" spans="1:11" ht="39.950000000000003" customHeight="1" thickBot="1">
      <c r="A102" s="513"/>
      <c r="B102" s="514" t="s">
        <v>72</v>
      </c>
      <c r="C102" s="519">
        <f>SUM(C64:C101)</f>
        <v>14357000</v>
      </c>
      <c r="D102" s="516"/>
      <c r="E102" s="517"/>
      <c r="F102" s="513"/>
      <c r="G102" s="514" t="s">
        <v>72</v>
      </c>
      <c r="H102" s="519">
        <f>SUM(H64:H101)</f>
        <v>178035</v>
      </c>
      <c r="I102" s="519">
        <f>SUM(H64:H67,I68:I91,H92:H101)</f>
        <v>178035</v>
      </c>
      <c r="J102" s="544"/>
      <c r="K102" s="517"/>
    </row>
  </sheetData>
  <mergeCells count="17">
    <mergeCell ref="A61:G61"/>
    <mergeCell ref="A62:E62"/>
    <mergeCell ref="F62:K62"/>
    <mergeCell ref="A8:B9"/>
    <mergeCell ref="C8:E9"/>
    <mergeCell ref="F8:G9"/>
    <mergeCell ref="H8:K9"/>
    <mergeCell ref="A11:G11"/>
    <mergeCell ref="A12:E12"/>
    <mergeCell ref="F12:K12"/>
    <mergeCell ref="A2:K3"/>
    <mergeCell ref="A5:J5"/>
    <mergeCell ref="A6:G6"/>
    <mergeCell ref="A7:B7"/>
    <mergeCell ref="C7:E7"/>
    <mergeCell ref="F7:G7"/>
    <mergeCell ref="H7:K7"/>
  </mergeCells>
  <phoneticPr fontId="2" type="noConversion"/>
  <printOptions horizontalCentered="1"/>
  <pageMargins left="0" right="0" top="0" bottom="0" header="0" footer="0"/>
  <pageSetup paperSize="9" scale="36" orientation="portrait" r:id="rId1"/>
  <rowBreaks count="1" manualBreakCount="1">
    <brk id="60" max="45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48F3E-8B31-40D0-83FD-280FD0DBDC47}">
  <sheetPr>
    <tabColor rgb="FF00B0F0"/>
    <pageSetUpPr fitToPage="1"/>
  </sheetPr>
  <dimension ref="A1:J44"/>
  <sheetViews>
    <sheetView view="pageBreakPreview" topLeftCell="A7" zoomScale="70" zoomScaleNormal="100" zoomScaleSheetLayoutView="70" workbookViewId="0">
      <selection activeCell="G17" sqref="G17"/>
    </sheetView>
  </sheetViews>
  <sheetFormatPr defaultRowHeight="16.5"/>
  <cols>
    <col min="1" max="1" width="4.5" customWidth="1"/>
    <col min="2" max="2" width="54.5" customWidth="1"/>
    <col min="3" max="4" width="17.125" customWidth="1"/>
    <col min="5" max="5" width="23.25" customWidth="1"/>
    <col min="6" max="6" width="4.5" customWidth="1"/>
    <col min="7" max="7" width="74.25" customWidth="1"/>
    <col min="8" max="8" width="17.25" customWidth="1"/>
    <col min="9" max="9" width="21.875" style="13" bestFit="1" customWidth="1"/>
    <col min="10" max="10" width="27.5" style="13" customWidth="1"/>
  </cols>
  <sheetData>
    <row r="1" spans="1:10" ht="36.75" customHeight="1"/>
    <row r="2" spans="1:10" ht="21.95" customHeight="1">
      <c r="A2" s="811" t="s">
        <v>14</v>
      </c>
      <c r="B2" s="811"/>
      <c r="C2" s="811"/>
      <c r="D2" s="811"/>
      <c r="E2" s="811"/>
      <c r="F2" s="811"/>
      <c r="G2" s="811"/>
      <c r="H2" s="811"/>
      <c r="I2" s="811"/>
      <c r="J2" s="811"/>
    </row>
    <row r="3" spans="1:10" ht="12" customHeight="1">
      <c r="A3" s="811"/>
      <c r="B3" s="811"/>
      <c r="C3" s="811"/>
      <c r="D3" s="811"/>
      <c r="E3" s="811"/>
      <c r="F3" s="811"/>
      <c r="G3" s="811"/>
      <c r="H3" s="811"/>
      <c r="I3" s="811"/>
      <c r="J3" s="811"/>
    </row>
    <row r="4" spans="1:10" ht="21.75" customHeight="1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ht="18" customHeight="1">
      <c r="A5" s="818" t="s">
        <v>770</v>
      </c>
      <c r="B5" s="818"/>
      <c r="C5" s="818"/>
      <c r="D5" s="818"/>
      <c r="E5" s="818"/>
      <c r="F5" s="818"/>
      <c r="G5" s="818"/>
      <c r="H5" s="818"/>
      <c r="I5" s="818"/>
      <c r="J5" s="689"/>
    </row>
    <row r="6" spans="1:10" ht="18" customHeight="1" thickBot="1">
      <c r="A6" s="818" t="s">
        <v>16</v>
      </c>
      <c r="B6" s="819"/>
      <c r="C6" s="819"/>
      <c r="D6" s="819"/>
      <c r="E6" s="819"/>
      <c r="F6" s="819"/>
      <c r="G6" s="819"/>
      <c r="H6" s="690"/>
      <c r="I6" s="3"/>
      <c r="J6" s="3"/>
    </row>
    <row r="7" spans="1:10" ht="27.75" customHeight="1" thickBot="1">
      <c r="A7" s="843" t="s">
        <v>17</v>
      </c>
      <c r="B7" s="844"/>
      <c r="C7" s="837" t="s">
        <v>18</v>
      </c>
      <c r="D7" s="828"/>
      <c r="E7" s="838"/>
      <c r="F7" s="837" t="s">
        <v>19</v>
      </c>
      <c r="G7" s="838"/>
      <c r="H7" s="828" t="s">
        <v>20</v>
      </c>
      <c r="I7" s="828"/>
      <c r="J7" s="829"/>
    </row>
    <row r="8" spans="1:10" ht="18" customHeight="1" thickTop="1" thickBot="1">
      <c r="A8" s="824">
        <f>'6월11일'!$H$8</f>
        <v>86505692.754000008</v>
      </c>
      <c r="B8" s="825"/>
      <c r="C8" s="812">
        <f>C28</f>
        <v>17422370</v>
      </c>
      <c r="D8" s="813"/>
      <c r="E8" s="814"/>
      <c r="F8" s="839">
        <f>H28</f>
        <v>1011000</v>
      </c>
      <c r="G8" s="840"/>
      <c r="H8" s="830">
        <f>SUM(A8:E9)-F8</f>
        <v>102917062.75400001</v>
      </c>
      <c r="I8" s="830"/>
      <c r="J8" s="831"/>
    </row>
    <row r="9" spans="1:10" ht="22.5" customHeight="1" thickTop="1" thickBot="1">
      <c r="A9" s="826"/>
      <c r="B9" s="827"/>
      <c r="C9" s="815"/>
      <c r="D9" s="816"/>
      <c r="E9" s="817"/>
      <c r="F9" s="841"/>
      <c r="G9" s="842"/>
      <c r="H9" s="832"/>
      <c r="I9" s="832"/>
      <c r="J9" s="833"/>
    </row>
    <row r="10" spans="1:10" ht="18" customHeight="1">
      <c r="A10" s="689"/>
      <c r="B10" s="690"/>
      <c r="C10" s="690"/>
      <c r="D10" s="690"/>
      <c r="E10" s="690"/>
      <c r="F10" s="690"/>
      <c r="G10" s="690"/>
      <c r="H10" s="690"/>
      <c r="I10" s="23"/>
      <c r="J10" s="23"/>
    </row>
    <row r="11" spans="1:10" ht="32.25" customHeight="1" thickBot="1">
      <c r="A11" s="818" t="s">
        <v>21</v>
      </c>
      <c r="B11" s="819"/>
      <c r="C11" s="819"/>
      <c r="D11" s="819"/>
      <c r="E11" s="819"/>
      <c r="F11" s="819"/>
      <c r="G11" s="819"/>
      <c r="H11" s="690"/>
      <c r="I11" s="3"/>
      <c r="J11" s="3"/>
    </row>
    <row r="12" spans="1:10" ht="39.950000000000003" customHeight="1" thickBot="1">
      <c r="A12" s="861" t="s">
        <v>771</v>
      </c>
      <c r="B12" s="862"/>
      <c r="C12" s="862"/>
      <c r="D12" s="862"/>
      <c r="E12" s="863"/>
      <c r="F12" s="861" t="s">
        <v>772</v>
      </c>
      <c r="G12" s="862"/>
      <c r="H12" s="862"/>
      <c r="I12" s="862"/>
      <c r="J12" s="863"/>
    </row>
    <row r="13" spans="1:10" ht="39.950000000000003" customHeight="1" thickBot="1">
      <c r="A13" s="459" t="s">
        <v>24</v>
      </c>
      <c r="B13" s="460" t="s">
        <v>25</v>
      </c>
      <c r="C13" s="461" t="s">
        <v>108</v>
      </c>
      <c r="D13" s="461" t="s">
        <v>27</v>
      </c>
      <c r="E13" s="696" t="s">
        <v>10</v>
      </c>
      <c r="F13" s="459" t="s">
        <v>24</v>
      </c>
      <c r="G13" s="460" t="s">
        <v>25</v>
      </c>
      <c r="H13" s="461" t="s">
        <v>108</v>
      </c>
      <c r="I13" s="461" t="s">
        <v>655</v>
      </c>
      <c r="J13" s="696" t="s">
        <v>10</v>
      </c>
    </row>
    <row r="14" spans="1:10" ht="39.950000000000003" customHeight="1">
      <c r="A14" s="491">
        <v>1</v>
      </c>
      <c r="B14" s="487" t="s">
        <v>773</v>
      </c>
      <c r="C14" s="488">
        <v>1839373</v>
      </c>
      <c r="D14" s="492" t="s">
        <v>774</v>
      </c>
      <c r="E14" s="567" t="s">
        <v>30</v>
      </c>
      <c r="F14" s="524">
        <v>1</v>
      </c>
      <c r="G14" s="525" t="s">
        <v>100</v>
      </c>
      <c r="H14" s="526">
        <v>11000</v>
      </c>
      <c r="I14" s="527">
        <v>44362</v>
      </c>
      <c r="J14" s="555" t="s">
        <v>253</v>
      </c>
    </row>
    <row r="15" spans="1:10" ht="39.950000000000003" customHeight="1">
      <c r="A15" s="491">
        <v>2</v>
      </c>
      <c r="B15" s="487" t="s">
        <v>615</v>
      </c>
      <c r="C15" s="488">
        <v>11957000</v>
      </c>
      <c r="D15" s="488" t="s">
        <v>35</v>
      </c>
      <c r="E15" s="475" t="s">
        <v>35</v>
      </c>
      <c r="F15" s="491">
        <v>2</v>
      </c>
      <c r="G15" s="534" t="s">
        <v>775</v>
      </c>
      <c r="H15" s="561">
        <f>500000</f>
        <v>500000</v>
      </c>
      <c r="I15" s="562">
        <v>44363</v>
      </c>
      <c r="J15" s="477" t="s">
        <v>776</v>
      </c>
    </row>
    <row r="16" spans="1:10" ht="39.950000000000003" customHeight="1">
      <c r="A16" s="540">
        <v>3</v>
      </c>
      <c r="B16" s="541" t="s">
        <v>766</v>
      </c>
      <c r="C16" s="542">
        <v>2400000</v>
      </c>
      <c r="D16" s="542" t="s">
        <v>777</v>
      </c>
      <c r="E16" s="543" t="s">
        <v>35</v>
      </c>
      <c r="F16" s="535">
        <v>3</v>
      </c>
      <c r="G16" s="506" t="s">
        <v>778</v>
      </c>
      <c r="H16" s="578">
        <f>500000</f>
        <v>500000</v>
      </c>
      <c r="I16" s="539" t="s">
        <v>35</v>
      </c>
      <c r="J16" s="509" t="s">
        <v>779</v>
      </c>
    </row>
    <row r="17" spans="1:10" ht="39.950000000000003" customHeight="1">
      <c r="A17" s="540">
        <v>4</v>
      </c>
      <c r="B17" s="602" t="s">
        <v>780</v>
      </c>
      <c r="C17" s="494">
        <v>10554</v>
      </c>
      <c r="D17" s="542" t="s">
        <v>781</v>
      </c>
      <c r="E17" s="543" t="s">
        <v>35</v>
      </c>
      <c r="F17" s="579">
        <v>4</v>
      </c>
      <c r="G17" s="580" t="s">
        <v>782</v>
      </c>
      <c r="H17" s="581">
        <f>23600</f>
        <v>23600</v>
      </c>
      <c r="I17" s="562">
        <v>44361</v>
      </c>
      <c r="J17" s="582" t="s">
        <v>668</v>
      </c>
    </row>
    <row r="18" spans="1:10" ht="39.950000000000003" customHeight="1">
      <c r="A18" s="535">
        <v>6</v>
      </c>
      <c r="B18" s="592" t="s">
        <v>783</v>
      </c>
      <c r="C18" s="593">
        <f>6027</f>
        <v>6027</v>
      </c>
      <c r="D18" s="481" t="s">
        <v>35</v>
      </c>
      <c r="E18" s="483" t="s">
        <v>784</v>
      </c>
      <c r="F18" s="529">
        <v>5</v>
      </c>
      <c r="G18" s="500" t="s">
        <v>785</v>
      </c>
      <c r="H18" s="530">
        <f>125300</f>
        <v>125300</v>
      </c>
      <c r="I18" s="531" t="s">
        <v>35</v>
      </c>
      <c r="J18" s="477"/>
    </row>
    <row r="19" spans="1:10" ht="39.950000000000003" customHeight="1">
      <c r="A19" s="491">
        <v>7</v>
      </c>
      <c r="B19" s="577" t="s">
        <v>786</v>
      </c>
      <c r="C19" s="485">
        <f>1200000</f>
        <v>1200000</v>
      </c>
      <c r="D19" s="488" t="s">
        <v>787</v>
      </c>
      <c r="E19" s="490" t="s">
        <v>340</v>
      </c>
      <c r="F19" s="529">
        <v>6</v>
      </c>
      <c r="G19" s="500" t="s">
        <v>788</v>
      </c>
      <c r="H19" s="530">
        <f>19800</f>
        <v>19800</v>
      </c>
      <c r="I19" s="503">
        <v>44363</v>
      </c>
      <c r="J19" s="477"/>
    </row>
    <row r="20" spans="1:10" ht="39.950000000000003" customHeight="1">
      <c r="A20" s="529">
        <v>8</v>
      </c>
      <c r="B20" s="463" t="s">
        <v>789</v>
      </c>
      <c r="C20" s="468">
        <f>500</f>
        <v>500</v>
      </c>
      <c r="D20" s="473" t="s">
        <v>781</v>
      </c>
      <c r="E20" s="475" t="s">
        <v>35</v>
      </c>
      <c r="F20" s="529">
        <v>7</v>
      </c>
      <c r="G20" s="500" t="s">
        <v>790</v>
      </c>
      <c r="H20" s="530">
        <v>27500</v>
      </c>
      <c r="I20" s="503" t="s">
        <v>35</v>
      </c>
      <c r="J20" s="477"/>
    </row>
    <row r="21" spans="1:10" ht="39.950000000000003" customHeight="1">
      <c r="A21" s="535">
        <v>9</v>
      </c>
      <c r="B21" s="592" t="s">
        <v>791</v>
      </c>
      <c r="C21" s="593">
        <f>4830</f>
        <v>4830</v>
      </c>
      <c r="D21" s="481" t="s">
        <v>35</v>
      </c>
      <c r="E21" s="483" t="s">
        <v>417</v>
      </c>
      <c r="F21" s="529">
        <v>8</v>
      </c>
      <c r="G21" s="500" t="s">
        <v>792</v>
      </c>
      <c r="H21" s="530">
        <f>16350</f>
        <v>16350</v>
      </c>
      <c r="I21" s="503" t="s">
        <v>35</v>
      </c>
      <c r="J21" s="477"/>
    </row>
    <row r="22" spans="1:10" ht="39.950000000000003" customHeight="1">
      <c r="A22" s="491">
        <v>10</v>
      </c>
      <c r="B22" s="577" t="s">
        <v>793</v>
      </c>
      <c r="C22" s="485">
        <f>4086</f>
        <v>4086</v>
      </c>
      <c r="D22" s="488" t="s">
        <v>35</v>
      </c>
      <c r="E22" s="490" t="s">
        <v>185</v>
      </c>
      <c r="F22" s="529">
        <v>9</v>
      </c>
      <c r="G22" s="500" t="s">
        <v>794</v>
      </c>
      <c r="H22" s="530">
        <f>3690</f>
        <v>3690</v>
      </c>
      <c r="I22" s="503" t="s">
        <v>35</v>
      </c>
      <c r="J22" s="477"/>
    </row>
    <row r="23" spans="1:10" ht="39.950000000000003" customHeight="1">
      <c r="A23" s="529"/>
      <c r="B23" s="463"/>
      <c r="C23" s="468"/>
      <c r="D23" s="473"/>
      <c r="E23" s="475"/>
      <c r="F23" s="529">
        <v>10</v>
      </c>
      <c r="G23" s="500" t="s">
        <v>795</v>
      </c>
      <c r="H23" s="530">
        <v>12450</v>
      </c>
      <c r="I23" s="503" t="s">
        <v>35</v>
      </c>
      <c r="J23" s="477"/>
    </row>
    <row r="24" spans="1:10" ht="39.950000000000003" customHeight="1">
      <c r="A24" s="529"/>
      <c r="B24" s="463"/>
      <c r="C24" s="468"/>
      <c r="D24" s="473"/>
      <c r="E24" s="475"/>
      <c r="F24" s="529">
        <v>11</v>
      </c>
      <c r="G24" s="500" t="s">
        <v>796</v>
      </c>
      <c r="H24" s="530">
        <f>22460</f>
        <v>22460</v>
      </c>
      <c r="I24" s="503">
        <v>44364</v>
      </c>
      <c r="J24" s="477"/>
    </row>
    <row r="25" spans="1:10" ht="39.950000000000003" customHeight="1">
      <c r="A25" s="529"/>
      <c r="B25" s="463"/>
      <c r="C25" s="468"/>
      <c r="D25" s="473"/>
      <c r="E25" s="475"/>
      <c r="F25" s="529">
        <v>12</v>
      </c>
      <c r="G25" s="500" t="s">
        <v>797</v>
      </c>
      <c r="H25" s="530">
        <v>21850</v>
      </c>
      <c r="I25" s="503">
        <v>44365</v>
      </c>
      <c r="J25" s="477"/>
    </row>
    <row r="26" spans="1:10" ht="39.950000000000003" customHeight="1">
      <c r="A26" s="529"/>
      <c r="B26" s="463"/>
      <c r="C26" s="468"/>
      <c r="D26" s="473"/>
      <c r="E26" s="475"/>
      <c r="F26" s="529"/>
      <c r="G26" s="500"/>
      <c r="H26" s="530"/>
      <c r="I26" s="531"/>
      <c r="J26" s="477"/>
    </row>
    <row r="27" spans="1:10" ht="39.950000000000003" customHeight="1" thickBot="1">
      <c r="A27" s="491"/>
      <c r="B27" s="487"/>
      <c r="C27" s="488"/>
      <c r="D27" s="492"/>
      <c r="E27" s="475"/>
      <c r="F27" s="545"/>
      <c r="G27" s="583"/>
      <c r="H27" s="584"/>
      <c r="I27" s="585"/>
      <c r="J27" s="549"/>
    </row>
    <row r="28" spans="1:10" ht="39.950000000000003" customHeight="1" thickBot="1">
      <c r="A28" s="513"/>
      <c r="B28" s="514" t="s">
        <v>72</v>
      </c>
      <c r="C28" s="515">
        <f>SUM(C14:C27)</f>
        <v>17422370</v>
      </c>
      <c r="D28" s="516"/>
      <c r="E28" s="517"/>
      <c r="F28" s="518"/>
      <c r="G28" s="514" t="s">
        <v>72</v>
      </c>
      <c r="H28" s="519">
        <f>SUM(H14:H16)</f>
        <v>1011000</v>
      </c>
      <c r="I28" s="520" t="s">
        <v>73</v>
      </c>
      <c r="J28" s="521"/>
    </row>
    <row r="29" spans="1:10" ht="39.950000000000003" customHeight="1" thickBot="1">
      <c r="A29" s="856" t="s">
        <v>74</v>
      </c>
      <c r="B29" s="857"/>
      <c r="C29" s="857"/>
      <c r="D29" s="857"/>
      <c r="E29" s="857"/>
      <c r="F29" s="857"/>
      <c r="G29" s="857"/>
      <c r="H29" s="695"/>
      <c r="I29" s="522"/>
      <c r="J29" s="522"/>
    </row>
    <row r="30" spans="1:10" ht="39.950000000000003" customHeight="1" thickBot="1">
      <c r="A30" s="858" t="s">
        <v>798</v>
      </c>
      <c r="B30" s="859"/>
      <c r="C30" s="859"/>
      <c r="D30" s="859"/>
      <c r="E30" s="860"/>
      <c r="F30" s="861" t="s">
        <v>799</v>
      </c>
      <c r="G30" s="862"/>
      <c r="H30" s="862"/>
      <c r="I30" s="862"/>
      <c r="J30" s="863"/>
    </row>
    <row r="31" spans="1:10" ht="39.950000000000003" customHeight="1" thickBot="1">
      <c r="A31" s="459" t="s">
        <v>24</v>
      </c>
      <c r="B31" s="460" t="s">
        <v>25</v>
      </c>
      <c r="C31" s="461" t="s">
        <v>108</v>
      </c>
      <c r="D31" s="461" t="s">
        <v>27</v>
      </c>
      <c r="E31" s="696" t="s">
        <v>10</v>
      </c>
      <c r="F31" s="523" t="s">
        <v>24</v>
      </c>
      <c r="G31" s="460" t="s">
        <v>25</v>
      </c>
      <c r="H31" s="461" t="s">
        <v>108</v>
      </c>
      <c r="I31" s="461" t="s">
        <v>655</v>
      </c>
      <c r="J31" s="696" t="s">
        <v>10</v>
      </c>
    </row>
    <row r="32" spans="1:10" ht="39.950000000000003" customHeight="1">
      <c r="A32" s="491">
        <v>1</v>
      </c>
      <c r="B32" s="487" t="s">
        <v>800</v>
      </c>
      <c r="C32" s="488">
        <v>6050000</v>
      </c>
      <c r="D32" s="492" t="s">
        <v>801</v>
      </c>
      <c r="E32" s="490"/>
      <c r="F32" s="491">
        <v>1</v>
      </c>
      <c r="G32" s="534" t="s">
        <v>768</v>
      </c>
      <c r="H32" s="561">
        <v>51449</v>
      </c>
      <c r="I32" s="562">
        <v>44368</v>
      </c>
      <c r="J32" s="477" t="s">
        <v>253</v>
      </c>
    </row>
    <row r="33" spans="1:10" ht="39.950000000000003" customHeight="1">
      <c r="A33" s="491">
        <v>2</v>
      </c>
      <c r="B33" s="487" t="s">
        <v>802</v>
      </c>
      <c r="C33" s="488">
        <v>31900000</v>
      </c>
      <c r="D33" s="492" t="s">
        <v>35</v>
      </c>
      <c r="E33" s="490"/>
      <c r="F33" s="529">
        <v>2</v>
      </c>
      <c r="G33" s="500" t="s">
        <v>769</v>
      </c>
      <c r="H33" s="530">
        <v>132000</v>
      </c>
      <c r="I33" s="553" t="s">
        <v>35</v>
      </c>
      <c r="J33" s="477" t="s">
        <v>35</v>
      </c>
    </row>
    <row r="34" spans="1:10" ht="39.950000000000003" customHeight="1">
      <c r="A34" s="491">
        <v>3</v>
      </c>
      <c r="B34" s="586" t="s">
        <v>803</v>
      </c>
      <c r="C34" s="488">
        <v>49008566</v>
      </c>
      <c r="D34" s="587" t="s">
        <v>35</v>
      </c>
      <c r="E34" s="490"/>
      <c r="F34" s="529">
        <v>3</v>
      </c>
      <c r="G34" s="500" t="s">
        <v>330</v>
      </c>
      <c r="H34" s="530">
        <v>519013</v>
      </c>
      <c r="I34" s="553" t="s">
        <v>35</v>
      </c>
      <c r="J34" s="477" t="s">
        <v>804</v>
      </c>
    </row>
    <row r="35" spans="1:10" ht="39.950000000000003" customHeight="1">
      <c r="A35" s="491">
        <v>4</v>
      </c>
      <c r="B35" s="487" t="s">
        <v>805</v>
      </c>
      <c r="C35" s="488">
        <v>6187500</v>
      </c>
      <c r="D35" s="492" t="s">
        <v>35</v>
      </c>
      <c r="E35" s="490"/>
      <c r="F35" s="529">
        <v>4</v>
      </c>
      <c r="G35" s="500" t="s">
        <v>806</v>
      </c>
      <c r="H35" s="532">
        <v>332530</v>
      </c>
      <c r="I35" s="503">
        <v>44369</v>
      </c>
      <c r="J35" s="477" t="s">
        <v>253</v>
      </c>
    </row>
    <row r="36" spans="1:10" ht="39.950000000000003" customHeight="1">
      <c r="A36" s="491">
        <v>5</v>
      </c>
      <c r="B36" s="487" t="s">
        <v>807</v>
      </c>
      <c r="C36" s="488">
        <f>12416316</f>
        <v>12416316</v>
      </c>
      <c r="D36" s="588" t="s">
        <v>35</v>
      </c>
      <c r="E36" s="490"/>
      <c r="F36" s="529">
        <v>4</v>
      </c>
      <c r="G36" s="500" t="s">
        <v>808</v>
      </c>
      <c r="H36" s="501">
        <v>15103163</v>
      </c>
      <c r="I36" s="503">
        <v>44370</v>
      </c>
      <c r="J36" s="477" t="s">
        <v>35</v>
      </c>
    </row>
    <row r="37" spans="1:10" ht="39.950000000000003" customHeight="1">
      <c r="A37" s="491">
        <v>6</v>
      </c>
      <c r="B37" s="487" t="s">
        <v>809</v>
      </c>
      <c r="C37" s="488">
        <v>177481700</v>
      </c>
      <c r="D37" s="492" t="s">
        <v>810</v>
      </c>
      <c r="E37" s="490"/>
      <c r="F37" s="529">
        <v>5</v>
      </c>
      <c r="G37" s="500" t="s">
        <v>811</v>
      </c>
      <c r="H37" s="501">
        <v>579285</v>
      </c>
      <c r="I37" s="531" t="s">
        <v>37</v>
      </c>
      <c r="J37" s="558" t="s">
        <v>35</v>
      </c>
    </row>
    <row r="38" spans="1:10" ht="39.950000000000003" customHeight="1">
      <c r="A38" s="491">
        <v>7</v>
      </c>
      <c r="B38" s="487" t="s">
        <v>812</v>
      </c>
      <c r="C38" s="488">
        <f>15642000</f>
        <v>15642000</v>
      </c>
      <c r="D38" s="492" t="s">
        <v>35</v>
      </c>
      <c r="E38" s="475"/>
      <c r="F38" s="529">
        <v>6</v>
      </c>
      <c r="G38" s="500" t="s">
        <v>813</v>
      </c>
      <c r="H38" s="501">
        <f>1199178</f>
        <v>1199178</v>
      </c>
      <c r="I38" s="503" t="s">
        <v>37</v>
      </c>
      <c r="J38" s="477" t="s">
        <v>35</v>
      </c>
    </row>
    <row r="39" spans="1:10" ht="39.950000000000003" customHeight="1">
      <c r="A39" s="491"/>
      <c r="B39" s="487"/>
      <c r="C39" s="488"/>
      <c r="D39" s="492"/>
      <c r="E39" s="475"/>
      <c r="F39" s="529">
        <v>7</v>
      </c>
      <c r="G39" s="500" t="s">
        <v>571</v>
      </c>
      <c r="H39" s="501">
        <v>300300</v>
      </c>
      <c r="I39" s="503">
        <v>44372</v>
      </c>
      <c r="J39" s="558" t="s">
        <v>35</v>
      </c>
    </row>
    <row r="40" spans="1:10" ht="39.950000000000003" customHeight="1">
      <c r="A40" s="529"/>
      <c r="B40" s="487"/>
      <c r="C40" s="488"/>
      <c r="D40" s="492"/>
      <c r="E40" s="475"/>
      <c r="F40" s="529">
        <v>8</v>
      </c>
      <c r="G40" s="500" t="s">
        <v>814</v>
      </c>
      <c r="H40" s="501">
        <v>220000</v>
      </c>
      <c r="I40" s="503" t="s">
        <v>37</v>
      </c>
      <c r="J40" s="477" t="s">
        <v>35</v>
      </c>
    </row>
    <row r="41" spans="1:10" ht="39.950000000000003" customHeight="1">
      <c r="A41" s="529"/>
      <c r="B41" s="472"/>
      <c r="C41" s="473"/>
      <c r="D41" s="473"/>
      <c r="E41" s="475"/>
      <c r="F41" s="529">
        <v>9</v>
      </c>
      <c r="G41" s="500" t="s">
        <v>815</v>
      </c>
      <c r="H41" s="501">
        <v>107400</v>
      </c>
      <c r="I41" s="503" t="s">
        <v>37</v>
      </c>
      <c r="J41" s="558" t="s">
        <v>35</v>
      </c>
    </row>
    <row r="42" spans="1:10" ht="39.950000000000003" customHeight="1">
      <c r="A42" s="529"/>
      <c r="B42" s="472"/>
      <c r="C42" s="473"/>
      <c r="D42" s="473"/>
      <c r="E42" s="475"/>
      <c r="F42" s="529">
        <v>10</v>
      </c>
      <c r="G42" s="500" t="s">
        <v>816</v>
      </c>
      <c r="H42" s="532">
        <v>32900</v>
      </c>
      <c r="I42" s="531" t="s">
        <v>37</v>
      </c>
      <c r="J42" s="477" t="s">
        <v>35</v>
      </c>
    </row>
    <row r="43" spans="1:10" ht="39.950000000000003" customHeight="1" thickBot="1">
      <c r="A43" s="529"/>
      <c r="B43" s="472"/>
      <c r="C43" s="473"/>
      <c r="D43" s="473"/>
      <c r="E43" s="475"/>
      <c r="F43" s="529">
        <v>11</v>
      </c>
      <c r="G43" s="500" t="s">
        <v>575</v>
      </c>
      <c r="H43" s="501">
        <f>23333330</f>
        <v>23333330</v>
      </c>
      <c r="I43" s="531" t="s">
        <v>37</v>
      </c>
      <c r="J43" s="558" t="s">
        <v>35</v>
      </c>
    </row>
    <row r="44" spans="1:10" ht="39.950000000000003" customHeight="1" thickBot="1">
      <c r="A44" s="513"/>
      <c r="B44" s="514" t="s">
        <v>72</v>
      </c>
      <c r="C44" s="519">
        <f>SUM(C32:C43)</f>
        <v>298686082</v>
      </c>
      <c r="D44" s="516"/>
      <c r="E44" s="517"/>
      <c r="F44" s="513"/>
      <c r="G44" s="514" t="s">
        <v>72</v>
      </c>
      <c r="H44" s="519">
        <f>SUM(H32:H43)</f>
        <v>41910548</v>
      </c>
      <c r="I44" s="544"/>
      <c r="J44" s="517"/>
    </row>
  </sheetData>
  <mergeCells count="17">
    <mergeCell ref="A2:J3"/>
    <mergeCell ref="A5:I5"/>
    <mergeCell ref="A6:G6"/>
    <mergeCell ref="A7:B7"/>
    <mergeCell ref="C7:E7"/>
    <mergeCell ref="F7:G7"/>
    <mergeCell ref="H7:J7"/>
    <mergeCell ref="A29:G29"/>
    <mergeCell ref="A30:E30"/>
    <mergeCell ref="F30:J30"/>
    <mergeCell ref="A8:B9"/>
    <mergeCell ref="C8:E9"/>
    <mergeCell ref="F8:G9"/>
    <mergeCell ref="H8:J9"/>
    <mergeCell ref="A11:G11"/>
    <mergeCell ref="A12:E12"/>
    <mergeCell ref="F12:J12"/>
  </mergeCells>
  <phoneticPr fontId="2" type="noConversion"/>
  <printOptions horizontalCentered="1"/>
  <pageMargins left="0" right="0" top="0" bottom="0" header="0" footer="0"/>
  <pageSetup paperSize="9" scale="3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429F3-A533-4539-A9EB-4F4AAD9937A2}">
  <sheetPr>
    <tabColor rgb="FF00B0F0"/>
  </sheetPr>
  <dimension ref="A1:K77"/>
  <sheetViews>
    <sheetView view="pageBreakPreview" topLeftCell="A13" zoomScale="70" zoomScaleNormal="100" zoomScaleSheetLayoutView="70" workbookViewId="0">
      <selection activeCell="G57" sqref="G57"/>
    </sheetView>
  </sheetViews>
  <sheetFormatPr defaultRowHeight="16.5"/>
  <cols>
    <col min="1" max="1" width="4.5" customWidth="1"/>
    <col min="2" max="2" width="54.5" customWidth="1"/>
    <col min="3" max="4" width="17.125" customWidth="1"/>
    <col min="5" max="5" width="23.25" customWidth="1"/>
    <col min="6" max="6" width="4.5" customWidth="1"/>
    <col min="7" max="7" width="74.25" customWidth="1"/>
    <col min="8" max="9" width="17.25" customWidth="1"/>
    <col min="10" max="10" width="21.875" style="13" bestFit="1" customWidth="1"/>
    <col min="11" max="11" width="27.5" style="13" customWidth="1"/>
  </cols>
  <sheetData>
    <row r="1" spans="1:11" ht="36.75" customHeight="1"/>
    <row r="2" spans="1:11" ht="21.95" customHeight="1">
      <c r="A2" s="811" t="s">
        <v>14</v>
      </c>
      <c r="B2" s="811"/>
      <c r="C2" s="811"/>
      <c r="D2" s="811"/>
      <c r="E2" s="811"/>
      <c r="F2" s="811"/>
      <c r="G2" s="811"/>
      <c r="H2" s="811"/>
      <c r="I2" s="811"/>
      <c r="J2" s="811"/>
      <c r="K2" s="811"/>
    </row>
    <row r="3" spans="1:11" ht="12" customHeight="1">
      <c r="A3" s="811"/>
      <c r="B3" s="811"/>
      <c r="C3" s="811"/>
      <c r="D3" s="811"/>
      <c r="E3" s="811"/>
      <c r="F3" s="811"/>
      <c r="G3" s="811"/>
      <c r="H3" s="811"/>
      <c r="I3" s="811"/>
      <c r="J3" s="811"/>
      <c r="K3" s="811"/>
    </row>
    <row r="4" spans="1:11" ht="21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ht="18" customHeight="1">
      <c r="A5" s="818" t="s">
        <v>817</v>
      </c>
      <c r="B5" s="818"/>
      <c r="C5" s="818"/>
      <c r="D5" s="818"/>
      <c r="E5" s="818"/>
      <c r="F5" s="818"/>
      <c r="G5" s="818"/>
      <c r="H5" s="818"/>
      <c r="I5" s="818"/>
      <c r="J5" s="818"/>
      <c r="K5" s="689"/>
    </row>
    <row r="6" spans="1:11" ht="18" customHeight="1" thickBot="1">
      <c r="A6" s="818" t="s">
        <v>16</v>
      </c>
      <c r="B6" s="819"/>
      <c r="C6" s="819"/>
      <c r="D6" s="819"/>
      <c r="E6" s="819"/>
      <c r="F6" s="819"/>
      <c r="G6" s="819"/>
      <c r="H6" s="690"/>
      <c r="I6" s="690"/>
      <c r="J6" s="3"/>
      <c r="K6" s="3"/>
    </row>
    <row r="7" spans="1:11" ht="27.75" customHeight="1" thickBot="1">
      <c r="A7" s="843" t="s">
        <v>17</v>
      </c>
      <c r="B7" s="844"/>
      <c r="C7" s="837" t="s">
        <v>18</v>
      </c>
      <c r="D7" s="828"/>
      <c r="E7" s="838"/>
      <c r="F7" s="837" t="s">
        <v>19</v>
      </c>
      <c r="G7" s="838"/>
      <c r="H7" s="828" t="s">
        <v>20</v>
      </c>
      <c r="I7" s="828"/>
      <c r="J7" s="828"/>
      <c r="K7" s="829"/>
    </row>
    <row r="8" spans="1:11" ht="18" customHeight="1" thickTop="1" thickBot="1">
      <c r="A8" s="824">
        <f>'6월18일'!$H$8</f>
        <v>102917062.75400001</v>
      </c>
      <c r="B8" s="825"/>
      <c r="C8" s="812">
        <f>C34</f>
        <v>309362325</v>
      </c>
      <c r="D8" s="813"/>
      <c r="E8" s="814"/>
      <c r="F8" s="839">
        <f>H34</f>
        <v>40627817</v>
      </c>
      <c r="G8" s="840"/>
      <c r="H8" s="830">
        <f>SUM(A8:E9)-F8</f>
        <v>371651570.75400001</v>
      </c>
      <c r="I8" s="830"/>
      <c r="J8" s="830"/>
      <c r="K8" s="831"/>
    </row>
    <row r="9" spans="1:11" ht="22.5" customHeight="1" thickTop="1" thickBot="1">
      <c r="A9" s="826"/>
      <c r="B9" s="827"/>
      <c r="C9" s="815"/>
      <c r="D9" s="816"/>
      <c r="E9" s="817"/>
      <c r="F9" s="841"/>
      <c r="G9" s="842"/>
      <c r="H9" s="832"/>
      <c r="I9" s="832"/>
      <c r="J9" s="832"/>
      <c r="K9" s="833"/>
    </row>
    <row r="10" spans="1:11" ht="18" customHeight="1">
      <c r="A10" s="689"/>
      <c r="B10" s="690"/>
      <c r="C10" s="690"/>
      <c r="D10" s="690"/>
      <c r="E10" s="690"/>
      <c r="F10" s="690"/>
      <c r="G10" s="690"/>
      <c r="H10" s="690"/>
      <c r="I10" s="690"/>
      <c r="J10" s="23"/>
      <c r="K10" s="23"/>
    </row>
    <row r="11" spans="1:11" ht="32.25" customHeight="1" thickBot="1">
      <c r="A11" s="818" t="s">
        <v>21</v>
      </c>
      <c r="B11" s="819"/>
      <c r="C11" s="819"/>
      <c r="D11" s="819"/>
      <c r="E11" s="819"/>
      <c r="F11" s="819"/>
      <c r="G11" s="819"/>
      <c r="H11" s="690"/>
      <c r="I11" s="690"/>
      <c r="J11" s="3"/>
      <c r="K11" s="3"/>
    </row>
    <row r="12" spans="1:11" ht="39.950000000000003" customHeight="1" thickBot="1">
      <c r="A12" s="861" t="s">
        <v>818</v>
      </c>
      <c r="B12" s="862"/>
      <c r="C12" s="862"/>
      <c r="D12" s="862"/>
      <c r="E12" s="863"/>
      <c r="F12" s="861" t="s">
        <v>819</v>
      </c>
      <c r="G12" s="862"/>
      <c r="H12" s="862"/>
      <c r="I12" s="862"/>
      <c r="J12" s="862"/>
      <c r="K12" s="863"/>
    </row>
    <row r="13" spans="1:11" ht="39.950000000000003" customHeight="1" thickBot="1">
      <c r="A13" s="459" t="s">
        <v>24</v>
      </c>
      <c r="B13" s="460" t="s">
        <v>25</v>
      </c>
      <c r="C13" s="461" t="s">
        <v>108</v>
      </c>
      <c r="D13" s="461" t="s">
        <v>27</v>
      </c>
      <c r="E13" s="696" t="s">
        <v>10</v>
      </c>
      <c r="F13" s="459" t="s">
        <v>24</v>
      </c>
      <c r="G13" s="460" t="s">
        <v>25</v>
      </c>
      <c r="H13" s="461" t="s">
        <v>108</v>
      </c>
      <c r="I13" s="461" t="s">
        <v>200</v>
      </c>
      <c r="J13" s="461" t="s">
        <v>655</v>
      </c>
      <c r="K13" s="696" t="s">
        <v>10</v>
      </c>
    </row>
    <row r="14" spans="1:11" ht="39.950000000000003" customHeight="1">
      <c r="A14" s="491">
        <v>1</v>
      </c>
      <c r="B14" s="487" t="s">
        <v>820</v>
      </c>
      <c r="C14" s="488">
        <v>15968000</v>
      </c>
      <c r="D14" s="492" t="s">
        <v>821</v>
      </c>
      <c r="E14" s="567" t="s">
        <v>30</v>
      </c>
      <c r="F14" s="524">
        <v>1</v>
      </c>
      <c r="G14" s="534" t="s">
        <v>768</v>
      </c>
      <c r="H14" s="561">
        <v>51449</v>
      </c>
      <c r="I14" s="561"/>
      <c r="J14" s="576">
        <v>44368</v>
      </c>
      <c r="K14" s="477" t="s">
        <v>253</v>
      </c>
    </row>
    <row r="15" spans="1:11" ht="39.950000000000003" customHeight="1">
      <c r="A15" s="529">
        <v>2</v>
      </c>
      <c r="B15" s="463" t="s">
        <v>624</v>
      </c>
      <c r="C15" s="473">
        <v>1145000</v>
      </c>
      <c r="D15" s="499" t="s">
        <v>822</v>
      </c>
      <c r="E15" s="475" t="s">
        <v>35</v>
      </c>
      <c r="F15" s="529">
        <v>2</v>
      </c>
      <c r="G15" s="500" t="s">
        <v>769</v>
      </c>
      <c r="H15" s="530">
        <v>132000</v>
      </c>
      <c r="I15" s="530"/>
      <c r="J15" s="531" t="s">
        <v>35</v>
      </c>
      <c r="K15" s="477" t="s">
        <v>35</v>
      </c>
    </row>
    <row r="16" spans="1:11" ht="39.950000000000003" customHeight="1">
      <c r="A16" s="529">
        <v>3</v>
      </c>
      <c r="B16" s="472" t="s">
        <v>800</v>
      </c>
      <c r="C16" s="473">
        <v>6050000</v>
      </c>
      <c r="D16" s="611" t="s">
        <v>823</v>
      </c>
      <c r="E16" s="475" t="s">
        <v>35</v>
      </c>
      <c r="F16" s="529">
        <v>3</v>
      </c>
      <c r="G16" s="500" t="s">
        <v>330</v>
      </c>
      <c r="H16" s="530">
        <v>502794</v>
      </c>
      <c r="I16" s="530"/>
      <c r="J16" s="531" t="s">
        <v>35</v>
      </c>
      <c r="K16" s="477" t="s">
        <v>804</v>
      </c>
    </row>
    <row r="17" spans="1:11" ht="39.950000000000003" customHeight="1">
      <c r="A17" s="529">
        <v>4</v>
      </c>
      <c r="B17" s="684" t="s">
        <v>802</v>
      </c>
      <c r="C17" s="473">
        <v>31900000</v>
      </c>
      <c r="D17" s="499" t="s">
        <v>35</v>
      </c>
      <c r="E17" s="475" t="s">
        <v>35</v>
      </c>
      <c r="F17" s="529">
        <v>4</v>
      </c>
      <c r="G17" s="500" t="s">
        <v>806</v>
      </c>
      <c r="H17" s="532">
        <v>332530</v>
      </c>
      <c r="I17" s="532"/>
      <c r="J17" s="503">
        <v>44369</v>
      </c>
      <c r="K17" s="477" t="s">
        <v>253</v>
      </c>
    </row>
    <row r="18" spans="1:11" ht="39.950000000000003" customHeight="1">
      <c r="A18" s="535">
        <v>5</v>
      </c>
      <c r="B18" s="685" t="s">
        <v>803</v>
      </c>
      <c r="C18" s="481">
        <v>49008566</v>
      </c>
      <c r="D18" s="594" t="s">
        <v>35</v>
      </c>
      <c r="E18" s="483" t="s">
        <v>35</v>
      </c>
      <c r="F18" s="529">
        <v>5</v>
      </c>
      <c r="G18" s="500" t="s">
        <v>594</v>
      </c>
      <c r="H18" s="501">
        <v>11000</v>
      </c>
      <c r="I18" s="501"/>
      <c r="J18" s="503" t="s">
        <v>35</v>
      </c>
      <c r="K18" s="477" t="s">
        <v>35</v>
      </c>
    </row>
    <row r="19" spans="1:11" ht="39.950000000000003" customHeight="1">
      <c r="A19" s="491">
        <v>6</v>
      </c>
      <c r="B19" s="487" t="s">
        <v>805</v>
      </c>
      <c r="C19" s="488">
        <v>6187500</v>
      </c>
      <c r="D19" s="492" t="s">
        <v>822</v>
      </c>
      <c r="E19" s="490" t="s">
        <v>824</v>
      </c>
      <c r="F19" s="529">
        <v>6</v>
      </c>
      <c r="G19" s="500" t="s">
        <v>825</v>
      </c>
      <c r="H19" s="501">
        <v>10567950</v>
      </c>
      <c r="I19" s="501"/>
      <c r="J19" s="503">
        <v>44370</v>
      </c>
      <c r="K19" s="477" t="s">
        <v>35</v>
      </c>
    </row>
    <row r="20" spans="1:11" ht="39.950000000000003" customHeight="1">
      <c r="A20" s="529">
        <v>7</v>
      </c>
      <c r="B20" s="472" t="s">
        <v>807</v>
      </c>
      <c r="C20" s="473">
        <f>12416316</f>
        <v>12416316</v>
      </c>
      <c r="D20" s="611" t="s">
        <v>823</v>
      </c>
      <c r="E20" s="475" t="s">
        <v>35</v>
      </c>
      <c r="F20" s="529">
        <v>8</v>
      </c>
      <c r="G20" s="500" t="s">
        <v>813</v>
      </c>
      <c r="H20" s="501">
        <f>1199178</f>
        <v>1199178</v>
      </c>
      <c r="I20" s="501"/>
      <c r="J20" s="503" t="s">
        <v>37</v>
      </c>
      <c r="K20" s="477" t="s">
        <v>826</v>
      </c>
    </row>
    <row r="21" spans="1:11" ht="39.950000000000003" customHeight="1">
      <c r="A21" s="535">
        <v>8</v>
      </c>
      <c r="B21" s="480" t="s">
        <v>809</v>
      </c>
      <c r="C21" s="481">
        <v>177481700</v>
      </c>
      <c r="D21" s="594" t="s">
        <v>35</v>
      </c>
      <c r="E21" s="483" t="s">
        <v>35</v>
      </c>
      <c r="F21" s="529">
        <v>9</v>
      </c>
      <c r="G21" s="500" t="s">
        <v>827</v>
      </c>
      <c r="H21" s="501">
        <v>336986</v>
      </c>
      <c r="I21" s="501"/>
      <c r="J21" s="503">
        <v>44371</v>
      </c>
      <c r="K21" s="477" t="s">
        <v>253</v>
      </c>
    </row>
    <row r="22" spans="1:11" ht="39.950000000000003" customHeight="1">
      <c r="A22" s="491">
        <v>9</v>
      </c>
      <c r="B22" s="487" t="s">
        <v>59</v>
      </c>
      <c r="C22" s="488">
        <f>400000</f>
        <v>400000</v>
      </c>
      <c r="D22" s="587" t="s">
        <v>828</v>
      </c>
      <c r="E22" s="490" t="s">
        <v>495</v>
      </c>
      <c r="F22" s="529">
        <v>10</v>
      </c>
      <c r="G22" s="500" t="s">
        <v>571</v>
      </c>
      <c r="H22" s="501">
        <v>300300</v>
      </c>
      <c r="I22" s="501"/>
      <c r="J22" s="503">
        <v>44372</v>
      </c>
      <c r="K22" s="558" t="s">
        <v>35</v>
      </c>
    </row>
    <row r="23" spans="1:11" ht="39.950000000000003" customHeight="1">
      <c r="A23" s="529">
        <v>10</v>
      </c>
      <c r="B23" s="472" t="s">
        <v>59</v>
      </c>
      <c r="C23" s="473">
        <f>1160000</f>
        <v>1160000</v>
      </c>
      <c r="D23" s="499" t="s">
        <v>35</v>
      </c>
      <c r="E23" s="612" t="s">
        <v>35</v>
      </c>
      <c r="F23" s="529">
        <v>11</v>
      </c>
      <c r="G23" s="500" t="s">
        <v>814</v>
      </c>
      <c r="H23" s="501">
        <v>220000</v>
      </c>
      <c r="I23" s="501"/>
      <c r="J23" s="503" t="s">
        <v>37</v>
      </c>
      <c r="K23" s="477" t="s">
        <v>35</v>
      </c>
    </row>
    <row r="24" spans="1:11" ht="39.950000000000003" customHeight="1">
      <c r="A24" s="535">
        <v>11</v>
      </c>
      <c r="B24" s="480" t="s">
        <v>59</v>
      </c>
      <c r="C24" s="481">
        <f>1340000</f>
        <v>1340000</v>
      </c>
      <c r="D24" s="594" t="s">
        <v>35</v>
      </c>
      <c r="E24" s="598" t="s">
        <v>35</v>
      </c>
      <c r="F24" s="529">
        <v>12</v>
      </c>
      <c r="G24" s="500" t="s">
        <v>815</v>
      </c>
      <c r="H24" s="501">
        <v>107400</v>
      </c>
      <c r="I24" s="501"/>
      <c r="J24" s="503" t="s">
        <v>37</v>
      </c>
      <c r="K24" s="558" t="s">
        <v>35</v>
      </c>
    </row>
    <row r="25" spans="1:11" ht="39.950000000000003" customHeight="1">
      <c r="A25" s="589">
        <v>12</v>
      </c>
      <c r="B25" s="599" t="s">
        <v>829</v>
      </c>
      <c r="C25" s="590">
        <f>233</f>
        <v>233</v>
      </c>
      <c r="D25" s="600" t="s">
        <v>35</v>
      </c>
      <c r="E25" s="591" t="s">
        <v>92</v>
      </c>
      <c r="F25" s="529">
        <v>13</v>
      </c>
      <c r="G25" s="500" t="s">
        <v>816</v>
      </c>
      <c r="H25" s="532">
        <v>32900</v>
      </c>
      <c r="I25" s="532"/>
      <c r="J25" s="531" t="s">
        <v>37</v>
      </c>
      <c r="K25" s="477" t="s">
        <v>35</v>
      </c>
    </row>
    <row r="26" spans="1:11" ht="39.950000000000003" customHeight="1">
      <c r="A26" s="589">
        <v>13</v>
      </c>
      <c r="B26" s="599" t="s">
        <v>830</v>
      </c>
      <c r="C26" s="590">
        <f>6305000</f>
        <v>6305000</v>
      </c>
      <c r="D26" s="600" t="s">
        <v>822</v>
      </c>
      <c r="E26" s="591" t="s">
        <v>52</v>
      </c>
      <c r="F26" s="535">
        <v>14</v>
      </c>
      <c r="G26" s="506" t="s">
        <v>575</v>
      </c>
      <c r="H26" s="596">
        <f>23333330</f>
        <v>23333330</v>
      </c>
      <c r="I26" s="596"/>
      <c r="J26" s="539" t="s">
        <v>37</v>
      </c>
      <c r="K26" s="597" t="s">
        <v>35</v>
      </c>
    </row>
    <row r="27" spans="1:11" ht="39.950000000000003" customHeight="1">
      <c r="A27" s="491">
        <v>14</v>
      </c>
      <c r="B27" s="577" t="s">
        <v>831</v>
      </c>
      <c r="C27" s="485">
        <f>10</f>
        <v>10</v>
      </c>
      <c r="D27" s="488" t="s">
        <v>832</v>
      </c>
      <c r="E27" s="490" t="s">
        <v>833</v>
      </c>
      <c r="F27" s="589">
        <v>15</v>
      </c>
      <c r="G27" s="603" t="s">
        <v>834</v>
      </c>
      <c r="H27" s="604">
        <v>3500000</v>
      </c>
      <c r="I27" s="604"/>
      <c r="J27" s="605" t="s">
        <v>35</v>
      </c>
      <c r="K27" s="606" t="s">
        <v>531</v>
      </c>
    </row>
    <row r="28" spans="1:11" ht="39.950000000000003" customHeight="1">
      <c r="A28" s="529"/>
      <c r="B28" s="463"/>
      <c r="C28" s="468"/>
      <c r="D28" s="473"/>
      <c r="E28" s="475"/>
      <c r="F28" s="491">
        <v>16</v>
      </c>
      <c r="G28" s="534" t="s">
        <v>835</v>
      </c>
      <c r="H28" s="595">
        <v>32726</v>
      </c>
      <c r="I28" s="595"/>
      <c r="J28" s="503">
        <v>44368</v>
      </c>
      <c r="K28" s="582" t="s">
        <v>668</v>
      </c>
    </row>
    <row r="29" spans="1:11" ht="39.950000000000003" customHeight="1">
      <c r="A29" s="529"/>
      <c r="B29" s="463"/>
      <c r="C29" s="468"/>
      <c r="D29" s="473"/>
      <c r="E29" s="475"/>
      <c r="F29" s="529">
        <v>17</v>
      </c>
      <c r="G29" s="500" t="s">
        <v>836</v>
      </c>
      <c r="H29" s="501">
        <f>3220000</f>
        <v>3220000</v>
      </c>
      <c r="I29" s="501"/>
      <c r="J29" s="531" t="s">
        <v>35</v>
      </c>
      <c r="K29" s="558"/>
    </row>
    <row r="30" spans="1:11" ht="39.950000000000003" customHeight="1">
      <c r="A30" s="529"/>
      <c r="B30" s="463"/>
      <c r="C30" s="468"/>
      <c r="D30" s="473"/>
      <c r="E30" s="475"/>
      <c r="F30" s="529">
        <v>18</v>
      </c>
      <c r="G30" s="500" t="s">
        <v>837</v>
      </c>
      <c r="H30" s="501">
        <f>3570</f>
        <v>3570</v>
      </c>
      <c r="I30" s="501"/>
      <c r="J30" s="503">
        <v>44369</v>
      </c>
      <c r="K30" s="558"/>
    </row>
    <row r="31" spans="1:11" ht="39.950000000000003" customHeight="1">
      <c r="A31" s="529"/>
      <c r="B31" s="463"/>
      <c r="C31" s="468"/>
      <c r="D31" s="473"/>
      <c r="E31" s="475"/>
      <c r="F31" s="529">
        <v>19</v>
      </c>
      <c r="G31" s="500" t="s">
        <v>838</v>
      </c>
      <c r="H31" s="501">
        <f>150280</f>
        <v>150280</v>
      </c>
      <c r="I31" s="501"/>
      <c r="J31" s="503">
        <v>44371</v>
      </c>
      <c r="K31" s="558"/>
    </row>
    <row r="32" spans="1:11" ht="39.950000000000003" customHeight="1">
      <c r="A32" s="529"/>
      <c r="B32" s="463"/>
      <c r="C32" s="468"/>
      <c r="D32" s="473"/>
      <c r="E32" s="475"/>
      <c r="F32" s="529">
        <v>20</v>
      </c>
      <c r="G32" s="500" t="s">
        <v>839</v>
      </c>
      <c r="H32" s="501">
        <f>40000</f>
        <v>40000</v>
      </c>
      <c r="I32" s="501"/>
      <c r="J32" s="503">
        <v>44372</v>
      </c>
      <c r="K32" s="558"/>
    </row>
    <row r="33" spans="1:11" ht="39.950000000000003" customHeight="1" thickBot="1">
      <c r="A33" s="529"/>
      <c r="B33" s="463"/>
      <c r="C33" s="468"/>
      <c r="D33" s="473"/>
      <c r="E33" s="475"/>
      <c r="F33" s="529">
        <v>21</v>
      </c>
      <c r="G33" s="500" t="s">
        <v>840</v>
      </c>
      <c r="H33" s="501">
        <f>21850</f>
        <v>21850</v>
      </c>
      <c r="I33" s="501"/>
      <c r="J33" s="531" t="s">
        <v>35</v>
      </c>
      <c r="K33" s="558"/>
    </row>
    <row r="34" spans="1:11" ht="39.950000000000003" customHeight="1" thickBot="1">
      <c r="A34" s="513"/>
      <c r="B34" s="514" t="s">
        <v>72</v>
      </c>
      <c r="C34" s="515">
        <f>SUM(C14:C33)</f>
        <v>309362325</v>
      </c>
      <c r="D34" s="516"/>
      <c r="E34" s="517"/>
      <c r="F34" s="518"/>
      <c r="G34" s="514" t="s">
        <v>72</v>
      </c>
      <c r="H34" s="519">
        <f>SUM(H14:H27)</f>
        <v>40627817</v>
      </c>
      <c r="I34" s="519"/>
      <c r="J34" s="520" t="s">
        <v>73</v>
      </c>
      <c r="K34" s="521"/>
    </row>
    <row r="35" spans="1:11" ht="39.950000000000003" customHeight="1" thickBot="1">
      <c r="A35" s="856" t="s">
        <v>74</v>
      </c>
      <c r="B35" s="857"/>
      <c r="C35" s="857"/>
      <c r="D35" s="857"/>
      <c r="E35" s="857"/>
      <c r="F35" s="857"/>
      <c r="G35" s="857"/>
      <c r="H35" s="695"/>
      <c r="I35" s="695"/>
      <c r="J35" s="522"/>
      <c r="K35" s="522"/>
    </row>
    <row r="36" spans="1:11" ht="39.950000000000003" customHeight="1" thickBot="1">
      <c r="A36" s="858" t="s">
        <v>841</v>
      </c>
      <c r="B36" s="859"/>
      <c r="C36" s="859"/>
      <c r="D36" s="859"/>
      <c r="E36" s="860"/>
      <c r="F36" s="861" t="s">
        <v>842</v>
      </c>
      <c r="G36" s="862"/>
      <c r="H36" s="862"/>
      <c r="I36" s="862"/>
      <c r="J36" s="862"/>
      <c r="K36" s="863"/>
    </row>
    <row r="37" spans="1:11" ht="39.950000000000003" customHeight="1" thickBot="1">
      <c r="A37" s="459" t="s">
        <v>24</v>
      </c>
      <c r="B37" s="460" t="s">
        <v>25</v>
      </c>
      <c r="C37" s="461" t="s">
        <v>108</v>
      </c>
      <c r="D37" s="461" t="s">
        <v>27</v>
      </c>
      <c r="E37" s="696" t="s">
        <v>10</v>
      </c>
      <c r="F37" s="523" t="s">
        <v>24</v>
      </c>
      <c r="G37" s="460" t="s">
        <v>25</v>
      </c>
      <c r="H37" s="461" t="s">
        <v>108</v>
      </c>
      <c r="I37" s="461" t="s">
        <v>200</v>
      </c>
      <c r="J37" s="461" t="s">
        <v>655</v>
      </c>
      <c r="K37" s="696" t="s">
        <v>10</v>
      </c>
    </row>
    <row r="38" spans="1:11" ht="39.950000000000003" customHeight="1">
      <c r="A38" s="491">
        <v>1</v>
      </c>
      <c r="B38" s="487" t="s">
        <v>812</v>
      </c>
      <c r="C38" s="488">
        <f>15642000</f>
        <v>15642000</v>
      </c>
      <c r="D38" s="492" t="s">
        <v>843</v>
      </c>
      <c r="E38" s="490" t="s">
        <v>30</v>
      </c>
      <c r="F38" s="524">
        <v>1</v>
      </c>
      <c r="G38" s="476" t="s">
        <v>844</v>
      </c>
      <c r="H38" s="501">
        <v>27518570</v>
      </c>
      <c r="I38" s="623"/>
      <c r="J38" s="576">
        <v>44376</v>
      </c>
      <c r="K38" s="497" t="s">
        <v>253</v>
      </c>
    </row>
    <row r="39" spans="1:11" ht="39.950000000000003" customHeight="1">
      <c r="A39" s="529">
        <v>2</v>
      </c>
      <c r="B39" s="586" t="s">
        <v>845</v>
      </c>
      <c r="C39" s="542">
        <v>179300000</v>
      </c>
      <c r="D39" s="622" t="s">
        <v>846</v>
      </c>
      <c r="E39" s="475" t="s">
        <v>847</v>
      </c>
      <c r="F39" s="491">
        <v>2</v>
      </c>
      <c r="G39" s="575" t="s">
        <v>848</v>
      </c>
      <c r="H39" s="561">
        <f>3502610</f>
        <v>3502610</v>
      </c>
      <c r="I39" s="561"/>
      <c r="J39" s="576">
        <v>44377</v>
      </c>
      <c r="K39" s="497"/>
    </row>
    <row r="40" spans="1:11" ht="39.950000000000003" customHeight="1">
      <c r="A40" s="613">
        <v>3</v>
      </c>
      <c r="B40" s="615" t="s">
        <v>849</v>
      </c>
      <c r="C40" s="616">
        <v>8712000</v>
      </c>
      <c r="D40" s="617"/>
      <c r="E40" s="621"/>
      <c r="F40" s="491">
        <v>3</v>
      </c>
      <c r="G40" s="500" t="s">
        <v>850</v>
      </c>
      <c r="H40" s="530">
        <v>628273</v>
      </c>
      <c r="I40" s="530"/>
      <c r="J40" s="531" t="s">
        <v>35</v>
      </c>
      <c r="K40" s="477"/>
    </row>
    <row r="41" spans="1:11" ht="39.950000000000003" customHeight="1">
      <c r="A41" s="613">
        <v>4</v>
      </c>
      <c r="B41" s="615" t="s">
        <v>851</v>
      </c>
      <c r="C41" s="616">
        <v>6500000</v>
      </c>
      <c r="D41" s="618"/>
      <c r="E41" s="621"/>
      <c r="F41" s="491">
        <v>4</v>
      </c>
      <c r="G41" s="534" t="s">
        <v>852</v>
      </c>
      <c r="H41" s="561">
        <v>6600000</v>
      </c>
      <c r="I41" s="561"/>
      <c r="J41" s="531" t="s">
        <v>35</v>
      </c>
      <c r="K41" s="497"/>
    </row>
    <row r="42" spans="1:11" ht="39.950000000000003" customHeight="1">
      <c r="A42" s="613"/>
      <c r="B42" s="615"/>
      <c r="C42" s="616"/>
      <c r="D42" s="618"/>
      <c r="E42" s="621"/>
      <c r="F42" s="491">
        <v>5</v>
      </c>
      <c r="G42" s="500" t="s">
        <v>853</v>
      </c>
      <c r="H42" s="530">
        <v>3086152</v>
      </c>
      <c r="I42" s="530"/>
      <c r="J42" s="531" t="s">
        <v>35</v>
      </c>
      <c r="K42" s="477"/>
    </row>
    <row r="43" spans="1:11" ht="39.950000000000003" customHeight="1">
      <c r="A43" s="613"/>
      <c r="B43" s="615"/>
      <c r="C43" s="616"/>
      <c r="D43" s="617"/>
      <c r="E43" s="621"/>
      <c r="F43" s="491">
        <v>6</v>
      </c>
      <c r="G43" s="500" t="s">
        <v>854</v>
      </c>
      <c r="H43" s="530">
        <f>3686067</f>
        <v>3686067</v>
      </c>
      <c r="I43" s="530"/>
      <c r="J43" s="531" t="s">
        <v>35</v>
      </c>
      <c r="K43" s="477"/>
    </row>
    <row r="44" spans="1:11" ht="39.950000000000003" customHeight="1">
      <c r="A44" s="613"/>
      <c r="B44" s="615"/>
      <c r="C44" s="616"/>
      <c r="D44" s="618"/>
      <c r="E44" s="621"/>
      <c r="F44" s="491">
        <v>7</v>
      </c>
      <c r="G44" s="500" t="s">
        <v>855</v>
      </c>
      <c r="H44" s="530">
        <f>1228689</f>
        <v>1228689</v>
      </c>
      <c r="I44" s="530"/>
      <c r="J44" s="531" t="s">
        <v>35</v>
      </c>
      <c r="K44" s="477"/>
    </row>
    <row r="45" spans="1:11" ht="39.950000000000003" customHeight="1">
      <c r="A45" s="620"/>
      <c r="B45" s="614"/>
      <c r="C45" s="619"/>
      <c r="D45" s="617"/>
      <c r="E45" s="621"/>
      <c r="F45" s="491">
        <v>8</v>
      </c>
      <c r="G45" s="500" t="s">
        <v>856</v>
      </c>
      <c r="H45" s="530">
        <v>847000</v>
      </c>
      <c r="I45" s="530"/>
      <c r="J45" s="531" t="s">
        <v>35</v>
      </c>
      <c r="K45" s="477"/>
    </row>
    <row r="46" spans="1:11" ht="39.950000000000003" customHeight="1">
      <c r="A46" s="529"/>
      <c r="B46" s="487"/>
      <c r="C46" s="488"/>
      <c r="D46" s="492"/>
      <c r="E46" s="475"/>
      <c r="F46" s="491">
        <v>9</v>
      </c>
      <c r="G46" s="500" t="s">
        <v>857</v>
      </c>
      <c r="H46" s="530">
        <v>330000</v>
      </c>
      <c r="I46" s="530"/>
      <c r="J46" s="531" t="s">
        <v>35</v>
      </c>
      <c r="K46" s="477" t="s">
        <v>623</v>
      </c>
    </row>
    <row r="47" spans="1:11" ht="39.950000000000003" customHeight="1">
      <c r="A47" s="529"/>
      <c r="B47" s="472"/>
      <c r="C47" s="473"/>
      <c r="D47" s="499"/>
      <c r="E47" s="475"/>
      <c r="F47" s="491">
        <v>10</v>
      </c>
      <c r="G47" s="500" t="s">
        <v>858</v>
      </c>
      <c r="H47" s="532">
        <v>385000</v>
      </c>
      <c r="I47" s="532"/>
      <c r="J47" s="531" t="s">
        <v>35</v>
      </c>
      <c r="K47" s="477"/>
    </row>
    <row r="48" spans="1:11" ht="39.950000000000003" customHeight="1">
      <c r="A48" s="529"/>
      <c r="B48" s="472"/>
      <c r="C48" s="473"/>
      <c r="D48" s="499"/>
      <c r="E48" s="475"/>
      <c r="F48" s="491">
        <v>11</v>
      </c>
      <c r="G48" s="500" t="s">
        <v>859</v>
      </c>
      <c r="H48" s="532">
        <f>3850000</f>
        <v>3850000</v>
      </c>
      <c r="I48" s="532"/>
      <c r="J48" s="531" t="s">
        <v>35</v>
      </c>
      <c r="K48" s="511"/>
    </row>
    <row r="49" spans="1:11" ht="39.950000000000003" customHeight="1">
      <c r="A49" s="529"/>
      <c r="B49" s="472"/>
      <c r="C49" s="473"/>
      <c r="D49" s="499"/>
      <c r="E49" s="475"/>
      <c r="F49" s="491">
        <v>12</v>
      </c>
      <c r="G49" s="500" t="s">
        <v>860</v>
      </c>
      <c r="H49" s="532">
        <f>660000</f>
        <v>660000</v>
      </c>
      <c r="I49" s="532"/>
      <c r="J49" s="531" t="s">
        <v>35</v>
      </c>
      <c r="K49" s="477"/>
    </row>
    <row r="50" spans="1:11" ht="39.950000000000003" customHeight="1">
      <c r="A50" s="529"/>
      <c r="B50" s="472"/>
      <c r="C50" s="473"/>
      <c r="D50" s="499"/>
      <c r="E50" s="475"/>
      <c r="F50" s="491">
        <v>13</v>
      </c>
      <c r="G50" s="500" t="s">
        <v>861</v>
      </c>
      <c r="H50" s="532">
        <f>3157000</f>
        <v>3157000</v>
      </c>
      <c r="I50" s="532"/>
      <c r="J50" s="503" t="s">
        <v>35</v>
      </c>
      <c r="K50" s="477"/>
    </row>
    <row r="51" spans="1:11" ht="39.950000000000003" customHeight="1">
      <c r="A51" s="529"/>
      <c r="B51" s="472"/>
      <c r="C51" s="473"/>
      <c r="D51" s="499"/>
      <c r="E51" s="475"/>
      <c r="F51" s="491">
        <v>14</v>
      </c>
      <c r="G51" s="533" t="s">
        <v>862</v>
      </c>
      <c r="H51" s="532">
        <f>5885000</f>
        <v>5885000</v>
      </c>
      <c r="I51" s="550"/>
      <c r="J51" s="531" t="s">
        <v>35</v>
      </c>
      <c r="K51" s="511"/>
    </row>
    <row r="52" spans="1:11" ht="39.950000000000003" customHeight="1">
      <c r="A52" s="529"/>
      <c r="B52" s="472"/>
      <c r="C52" s="473"/>
      <c r="D52" s="499"/>
      <c r="E52" s="475"/>
      <c r="F52" s="491">
        <v>15</v>
      </c>
      <c r="G52" s="533" t="s">
        <v>863</v>
      </c>
      <c r="H52" s="532">
        <v>5417500</v>
      </c>
      <c r="I52" s="532"/>
      <c r="J52" s="531" t="s">
        <v>35</v>
      </c>
      <c r="K52" s="511"/>
    </row>
    <row r="53" spans="1:11" ht="39.950000000000003" customHeight="1">
      <c r="A53" s="529"/>
      <c r="B53" s="472"/>
      <c r="C53" s="473"/>
      <c r="D53" s="499"/>
      <c r="E53" s="475"/>
      <c r="F53" s="491">
        <v>16</v>
      </c>
      <c r="G53" s="533" t="s">
        <v>864</v>
      </c>
      <c r="H53" s="532">
        <f>660000</f>
        <v>660000</v>
      </c>
      <c r="I53" s="532"/>
      <c r="J53" s="531" t="s">
        <v>35</v>
      </c>
      <c r="K53" s="511"/>
    </row>
    <row r="54" spans="1:11" ht="39.950000000000003" customHeight="1">
      <c r="A54" s="529"/>
      <c r="B54" s="472"/>
      <c r="C54" s="473"/>
      <c r="D54" s="499"/>
      <c r="E54" s="475"/>
      <c r="F54" s="491">
        <v>17</v>
      </c>
      <c r="G54" s="500" t="s">
        <v>152</v>
      </c>
      <c r="H54" s="532">
        <f>131740+150500</f>
        <v>282240</v>
      </c>
      <c r="I54" s="550"/>
      <c r="J54" s="531" t="s">
        <v>35</v>
      </c>
      <c r="K54" s="477"/>
    </row>
    <row r="55" spans="1:11" ht="39.950000000000003" customHeight="1">
      <c r="A55" s="529"/>
      <c r="B55" s="472"/>
      <c r="C55" s="473"/>
      <c r="D55" s="499"/>
      <c r="E55" s="475"/>
      <c r="F55" s="491">
        <v>18</v>
      </c>
      <c r="G55" s="476" t="s">
        <v>745</v>
      </c>
      <c r="H55" s="532">
        <f>11385000+3993000</f>
        <v>15378000</v>
      </c>
      <c r="I55" s="501"/>
      <c r="J55" s="503" t="s">
        <v>35</v>
      </c>
      <c r="K55" s="477"/>
    </row>
    <row r="56" spans="1:11" ht="39.950000000000003" customHeight="1">
      <c r="A56" s="529"/>
      <c r="B56" s="472"/>
      <c r="C56" s="473"/>
      <c r="D56" s="499"/>
      <c r="E56" s="475"/>
      <c r="F56" s="491">
        <v>19</v>
      </c>
      <c r="G56" s="476" t="s">
        <v>746</v>
      </c>
      <c r="H56" s="532">
        <f>1716000</f>
        <v>1716000</v>
      </c>
      <c r="I56" s="501"/>
      <c r="J56" s="503" t="s">
        <v>35</v>
      </c>
      <c r="K56" s="477"/>
    </row>
    <row r="57" spans="1:11" ht="39.950000000000003" customHeight="1">
      <c r="A57" s="529"/>
      <c r="B57" s="472"/>
      <c r="C57" s="473"/>
      <c r="D57" s="499"/>
      <c r="E57" s="475"/>
      <c r="F57" s="491">
        <v>20</v>
      </c>
      <c r="G57" s="500" t="s">
        <v>865</v>
      </c>
      <c r="H57" s="501">
        <f>1650000</f>
        <v>1650000</v>
      </c>
      <c r="I57" s="501"/>
      <c r="J57" s="503" t="s">
        <v>35</v>
      </c>
      <c r="K57" s="477"/>
    </row>
    <row r="58" spans="1:11" ht="39.950000000000003" customHeight="1">
      <c r="A58" s="529"/>
      <c r="B58" s="472"/>
      <c r="C58" s="473"/>
      <c r="D58" s="499"/>
      <c r="E58" s="475"/>
      <c r="F58" s="491">
        <v>21</v>
      </c>
      <c r="G58" s="500" t="s">
        <v>866</v>
      </c>
      <c r="H58" s="501">
        <f>88000</f>
        <v>88000</v>
      </c>
      <c r="I58" s="501"/>
      <c r="J58" s="503" t="s">
        <v>35</v>
      </c>
      <c r="K58" s="477"/>
    </row>
    <row r="59" spans="1:11" ht="39.950000000000003" customHeight="1">
      <c r="A59" s="529"/>
      <c r="B59" s="472"/>
      <c r="C59" s="473"/>
      <c r="D59" s="499"/>
      <c r="E59" s="475"/>
      <c r="F59" s="491">
        <v>22</v>
      </c>
      <c r="G59" s="500" t="s">
        <v>867</v>
      </c>
      <c r="H59" s="501">
        <f>3502610</f>
        <v>3502610</v>
      </c>
      <c r="I59" s="532"/>
      <c r="J59" s="503" t="s">
        <v>35</v>
      </c>
      <c r="K59" s="477"/>
    </row>
    <row r="60" spans="1:11" ht="39.950000000000003" customHeight="1">
      <c r="A60" s="529"/>
      <c r="B60" s="472"/>
      <c r="C60" s="473"/>
      <c r="D60" s="499"/>
      <c r="E60" s="475"/>
      <c r="F60" s="491">
        <v>23</v>
      </c>
      <c r="G60" s="500" t="s">
        <v>868</v>
      </c>
      <c r="H60" s="532">
        <f>829861</f>
        <v>829861</v>
      </c>
      <c r="I60" s="501"/>
      <c r="J60" s="503" t="s">
        <v>35</v>
      </c>
      <c r="K60" s="477"/>
    </row>
    <row r="61" spans="1:11" ht="39.950000000000003" customHeight="1">
      <c r="A61" s="529"/>
      <c r="B61" s="472"/>
      <c r="C61" s="473"/>
      <c r="D61" s="499"/>
      <c r="E61" s="475"/>
      <c r="F61" s="491">
        <v>24</v>
      </c>
      <c r="G61" s="500" t="s">
        <v>869</v>
      </c>
      <c r="H61" s="532">
        <f>220660</f>
        <v>220660</v>
      </c>
      <c r="I61" s="501"/>
      <c r="J61" s="503" t="s">
        <v>35</v>
      </c>
      <c r="K61" s="477"/>
    </row>
    <row r="62" spans="1:11" ht="39.950000000000003" customHeight="1">
      <c r="A62" s="529"/>
      <c r="B62" s="472"/>
      <c r="C62" s="473"/>
      <c r="D62" s="499"/>
      <c r="E62" s="475"/>
      <c r="F62" s="491">
        <v>25</v>
      </c>
      <c r="G62" s="506" t="s">
        <v>151</v>
      </c>
      <c r="H62" s="596">
        <f>4160000+12514</f>
        <v>4172514</v>
      </c>
      <c r="I62" s="596"/>
      <c r="J62" s="607">
        <v>44378</v>
      </c>
      <c r="K62" s="509" t="s">
        <v>662</v>
      </c>
    </row>
    <row r="63" spans="1:11" ht="39.950000000000003" customHeight="1">
      <c r="A63" s="529"/>
      <c r="B63" s="472"/>
      <c r="C63" s="473"/>
      <c r="D63" s="499"/>
      <c r="E63" s="475"/>
      <c r="F63" s="491">
        <v>26</v>
      </c>
      <c r="G63" s="467" t="s">
        <v>870</v>
      </c>
      <c r="H63" s="608">
        <f>150000</f>
        <v>150000</v>
      </c>
      <c r="I63" s="608"/>
      <c r="J63" s="624">
        <v>44377</v>
      </c>
      <c r="K63" s="610"/>
    </row>
    <row r="64" spans="1:11" ht="39.950000000000003" customHeight="1">
      <c r="A64" s="529"/>
      <c r="B64" s="472"/>
      <c r="C64" s="473"/>
      <c r="D64" s="499"/>
      <c r="E64" s="475"/>
      <c r="F64" s="491">
        <v>27</v>
      </c>
      <c r="G64" s="476" t="s">
        <v>871</v>
      </c>
      <c r="H64" s="532">
        <f>8000</f>
        <v>8000</v>
      </c>
      <c r="I64" s="532"/>
      <c r="J64" s="531" t="s">
        <v>35</v>
      </c>
      <c r="K64" s="511"/>
    </row>
    <row r="65" spans="1:11" ht="39.950000000000003" customHeight="1">
      <c r="A65" s="529"/>
      <c r="B65" s="472"/>
      <c r="C65" s="473"/>
      <c r="D65" s="499"/>
      <c r="E65" s="475"/>
      <c r="F65" s="491">
        <v>28</v>
      </c>
      <c r="G65" s="476" t="s">
        <v>872</v>
      </c>
      <c r="H65" s="532">
        <f>55000</f>
        <v>55000</v>
      </c>
      <c r="I65" s="532"/>
      <c r="J65" s="531" t="s">
        <v>35</v>
      </c>
      <c r="K65" s="511"/>
    </row>
    <row r="66" spans="1:11" ht="39.950000000000003" customHeight="1">
      <c r="A66" s="529"/>
      <c r="B66" s="472"/>
      <c r="C66" s="473"/>
      <c r="D66" s="499"/>
      <c r="E66" s="475"/>
      <c r="F66" s="491">
        <v>29</v>
      </c>
      <c r="G66" s="476" t="s">
        <v>873</v>
      </c>
      <c r="H66" s="532">
        <f>8000+15000</f>
        <v>23000</v>
      </c>
      <c r="I66" s="532"/>
      <c r="J66" s="531" t="s">
        <v>35</v>
      </c>
      <c r="K66" s="511"/>
    </row>
    <row r="67" spans="1:11" ht="39.950000000000003" customHeight="1">
      <c r="A67" s="529"/>
      <c r="B67" s="472"/>
      <c r="C67" s="473"/>
      <c r="D67" s="499"/>
      <c r="E67" s="475"/>
      <c r="F67" s="491">
        <v>30</v>
      </c>
      <c r="G67" s="476" t="s">
        <v>874</v>
      </c>
      <c r="H67" s="532">
        <f>60000</f>
        <v>60000</v>
      </c>
      <c r="I67" s="532"/>
      <c r="J67" s="531" t="s">
        <v>35</v>
      </c>
      <c r="K67" s="511"/>
    </row>
    <row r="68" spans="1:11" ht="39.950000000000003" customHeight="1">
      <c r="A68" s="529"/>
      <c r="B68" s="472"/>
      <c r="C68" s="473"/>
      <c r="D68" s="499"/>
      <c r="E68" s="475"/>
      <c r="F68" s="491">
        <v>31</v>
      </c>
      <c r="G68" s="476" t="s">
        <v>875</v>
      </c>
      <c r="H68" s="532">
        <f>210000</f>
        <v>210000</v>
      </c>
      <c r="I68" s="532"/>
      <c r="J68" s="531" t="s">
        <v>35</v>
      </c>
      <c r="K68" s="511"/>
    </row>
    <row r="69" spans="1:11" ht="39.950000000000003" customHeight="1">
      <c r="A69" s="529"/>
      <c r="B69" s="472"/>
      <c r="C69" s="473"/>
      <c r="D69" s="499"/>
      <c r="E69" s="475"/>
      <c r="F69" s="491">
        <v>32</v>
      </c>
      <c r="G69" s="476" t="s">
        <v>876</v>
      </c>
      <c r="H69" s="532">
        <f>137800</f>
        <v>137800</v>
      </c>
      <c r="I69" s="532"/>
      <c r="J69" s="531" t="s">
        <v>35</v>
      </c>
      <c r="K69" s="511"/>
    </row>
    <row r="70" spans="1:11" ht="39.950000000000003" customHeight="1">
      <c r="A70" s="529"/>
      <c r="B70" s="472"/>
      <c r="C70" s="473"/>
      <c r="D70" s="499"/>
      <c r="E70" s="475"/>
      <c r="F70" s="491">
        <v>33</v>
      </c>
      <c r="G70" s="476" t="s">
        <v>877</v>
      </c>
      <c r="H70" s="532">
        <f>6000</f>
        <v>6000</v>
      </c>
      <c r="I70" s="532"/>
      <c r="J70" s="531" t="s">
        <v>35</v>
      </c>
      <c r="K70" s="511"/>
    </row>
    <row r="71" spans="1:11" ht="39.950000000000003" customHeight="1">
      <c r="A71" s="529"/>
      <c r="B71" s="472"/>
      <c r="C71" s="473"/>
      <c r="D71" s="499"/>
      <c r="E71" s="475"/>
      <c r="F71" s="491">
        <v>34</v>
      </c>
      <c r="G71" s="476" t="s">
        <v>878</v>
      </c>
      <c r="H71" s="532">
        <f>22800</f>
        <v>22800</v>
      </c>
      <c r="I71" s="532"/>
      <c r="J71" s="531" t="s">
        <v>35</v>
      </c>
      <c r="K71" s="511"/>
    </row>
    <row r="72" spans="1:11" ht="39.950000000000003" customHeight="1">
      <c r="A72" s="529"/>
      <c r="B72" s="472"/>
      <c r="C72" s="473"/>
      <c r="D72" s="499"/>
      <c r="E72" s="475"/>
      <c r="F72" s="491">
        <v>35</v>
      </c>
      <c r="G72" s="484" t="s">
        <v>879</v>
      </c>
      <c r="H72" s="536">
        <v>87600</v>
      </c>
      <c r="I72" s="536"/>
      <c r="J72" s="531" t="s">
        <v>35</v>
      </c>
      <c r="K72" s="510"/>
    </row>
    <row r="73" spans="1:11" ht="39.950000000000003" customHeight="1">
      <c r="A73" s="529"/>
      <c r="B73" s="472"/>
      <c r="C73" s="473"/>
      <c r="D73" s="499"/>
      <c r="E73" s="475"/>
      <c r="F73" s="491">
        <v>36</v>
      </c>
      <c r="G73" s="580" t="s">
        <v>880</v>
      </c>
      <c r="H73" s="608">
        <f>325650</f>
        <v>325650</v>
      </c>
      <c r="I73" s="608"/>
      <c r="J73" s="609" t="s">
        <v>35</v>
      </c>
      <c r="K73" s="610" t="s">
        <v>429</v>
      </c>
    </row>
    <row r="74" spans="1:11" ht="39.950000000000003" customHeight="1">
      <c r="A74" s="529"/>
      <c r="B74" s="472"/>
      <c r="C74" s="473"/>
      <c r="D74" s="499"/>
      <c r="E74" s="475"/>
      <c r="F74" s="491">
        <v>37</v>
      </c>
      <c r="G74" s="500" t="s">
        <v>881</v>
      </c>
      <c r="H74" s="532">
        <f>548140</f>
        <v>548140</v>
      </c>
      <c r="I74" s="532"/>
      <c r="J74" s="531" t="s">
        <v>35</v>
      </c>
      <c r="K74" s="477" t="s">
        <v>35</v>
      </c>
    </row>
    <row r="75" spans="1:11" ht="39.950000000000003" customHeight="1">
      <c r="A75" s="529"/>
      <c r="B75" s="472"/>
      <c r="C75" s="473"/>
      <c r="D75" s="499"/>
      <c r="E75" s="475"/>
      <c r="F75" s="491">
        <v>38</v>
      </c>
      <c r="G75" s="500" t="s">
        <v>882</v>
      </c>
      <c r="H75" s="532">
        <f>144500+322610</f>
        <v>467110</v>
      </c>
      <c r="I75" s="532"/>
      <c r="J75" s="531" t="s">
        <v>35</v>
      </c>
      <c r="K75" s="477" t="s">
        <v>35</v>
      </c>
    </row>
    <row r="76" spans="1:11" ht="39.950000000000003" customHeight="1" thickBot="1">
      <c r="A76" s="529"/>
      <c r="B76" s="472"/>
      <c r="C76" s="473"/>
      <c r="D76" s="499"/>
      <c r="E76" s="475"/>
      <c r="F76" s="491">
        <v>39</v>
      </c>
      <c r="G76" s="476" t="s">
        <v>883</v>
      </c>
      <c r="H76" s="532">
        <v>22801954</v>
      </c>
      <c r="I76" s="532"/>
      <c r="J76" s="531" t="s">
        <v>35</v>
      </c>
      <c r="K76" s="477" t="s">
        <v>35</v>
      </c>
    </row>
    <row r="77" spans="1:11" ht="39.75" customHeight="1" thickBot="1">
      <c r="A77" s="513"/>
      <c r="B77" s="514" t="s">
        <v>72</v>
      </c>
      <c r="C77" s="519">
        <f>SUM(C39:C76)</f>
        <v>194512000</v>
      </c>
      <c r="D77" s="516"/>
      <c r="E77" s="517"/>
      <c r="F77" s="513"/>
      <c r="G77" s="514" t="s">
        <v>72</v>
      </c>
      <c r="H77" s="519">
        <f>SUM(H38:H72)</f>
        <v>96041946</v>
      </c>
      <c r="I77" s="519"/>
      <c r="J77" s="544"/>
      <c r="K77" s="517"/>
    </row>
  </sheetData>
  <mergeCells count="17">
    <mergeCell ref="A35:G35"/>
    <mergeCell ref="A36:E36"/>
    <mergeCell ref="F36:K36"/>
    <mergeCell ref="A8:B9"/>
    <mergeCell ref="C8:E9"/>
    <mergeCell ref="F8:G9"/>
    <mergeCell ref="H8:K9"/>
    <mergeCell ref="A11:G11"/>
    <mergeCell ref="A12:E12"/>
    <mergeCell ref="F12:K12"/>
    <mergeCell ref="A2:K3"/>
    <mergeCell ref="A5:J5"/>
    <mergeCell ref="A6:G6"/>
    <mergeCell ref="A7:B7"/>
    <mergeCell ref="C7:E7"/>
    <mergeCell ref="F7:G7"/>
    <mergeCell ref="H7:K7"/>
  </mergeCells>
  <phoneticPr fontId="2" type="noConversion"/>
  <printOptions horizontalCentered="1"/>
  <pageMargins left="0" right="0" top="0" bottom="0" header="0" footer="0"/>
  <pageSetup paperSize="9" scale="35" orientation="portrait" r:id="rId1"/>
  <rowBreaks count="1" manualBreakCount="1">
    <brk id="34" max="10" man="1"/>
  </rowBreaks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3EAB3-3CF1-4F58-A059-D15C81DE05D1}">
  <sheetPr>
    <tabColor rgb="FF00B0F0"/>
  </sheetPr>
  <dimension ref="A1:K76"/>
  <sheetViews>
    <sheetView view="pageBreakPreview" topLeftCell="A20" zoomScale="70" zoomScaleNormal="100" zoomScaleSheetLayoutView="70" workbookViewId="0">
      <selection activeCell="G40" sqref="G40"/>
    </sheetView>
  </sheetViews>
  <sheetFormatPr defaultRowHeight="16.5"/>
  <cols>
    <col min="1" max="1" width="4.5" customWidth="1"/>
    <col min="2" max="2" width="54.5" customWidth="1"/>
    <col min="3" max="4" width="17.125" customWidth="1"/>
    <col min="5" max="5" width="23.25" customWidth="1"/>
    <col min="6" max="6" width="4.5" customWidth="1"/>
    <col min="7" max="7" width="74.25" customWidth="1"/>
    <col min="8" max="9" width="17.25" customWidth="1"/>
    <col min="10" max="10" width="20.625" style="13" customWidth="1"/>
    <col min="11" max="11" width="35.125" style="13" bestFit="1" customWidth="1"/>
  </cols>
  <sheetData>
    <row r="1" spans="1:11" ht="36.75" customHeight="1"/>
    <row r="2" spans="1:11" ht="21.95" customHeight="1">
      <c r="A2" s="811" t="s">
        <v>14</v>
      </c>
      <c r="B2" s="811"/>
      <c r="C2" s="811"/>
      <c r="D2" s="811"/>
      <c r="E2" s="811"/>
      <c r="F2" s="811"/>
      <c r="G2" s="811"/>
      <c r="H2" s="811"/>
      <c r="I2" s="811"/>
      <c r="J2" s="811"/>
      <c r="K2" s="811"/>
    </row>
    <row r="3" spans="1:11" ht="12" customHeight="1">
      <c r="A3" s="811"/>
      <c r="B3" s="811"/>
      <c r="C3" s="811"/>
      <c r="D3" s="811"/>
      <c r="E3" s="811"/>
      <c r="F3" s="811"/>
      <c r="G3" s="811"/>
      <c r="H3" s="811"/>
      <c r="I3" s="811"/>
      <c r="J3" s="811"/>
      <c r="K3" s="811"/>
    </row>
    <row r="4" spans="1:11" ht="21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ht="18" customHeight="1">
      <c r="A5" s="818" t="s">
        <v>962</v>
      </c>
      <c r="B5" s="818"/>
      <c r="C5" s="818"/>
      <c r="D5" s="818"/>
      <c r="E5" s="818"/>
      <c r="F5" s="818"/>
      <c r="G5" s="818"/>
      <c r="H5" s="818"/>
      <c r="I5" s="818"/>
      <c r="J5" s="818"/>
      <c r="K5" s="697"/>
    </row>
    <row r="6" spans="1:11" ht="18" customHeight="1" thickBot="1">
      <c r="A6" s="818" t="s">
        <v>16</v>
      </c>
      <c r="B6" s="819"/>
      <c r="C6" s="819"/>
      <c r="D6" s="819"/>
      <c r="E6" s="819"/>
      <c r="F6" s="819"/>
      <c r="G6" s="819"/>
      <c r="H6" s="698"/>
      <c r="I6" s="698"/>
      <c r="J6" s="3"/>
      <c r="K6" s="3"/>
    </row>
    <row r="7" spans="1:11" ht="27.75" customHeight="1" thickBot="1">
      <c r="A7" s="843" t="s">
        <v>17</v>
      </c>
      <c r="B7" s="844"/>
      <c r="C7" s="837" t="s">
        <v>18</v>
      </c>
      <c r="D7" s="828"/>
      <c r="E7" s="838"/>
      <c r="F7" s="837" t="s">
        <v>19</v>
      </c>
      <c r="G7" s="838"/>
      <c r="H7" s="828" t="s">
        <v>20</v>
      </c>
      <c r="I7" s="828"/>
      <c r="J7" s="828"/>
      <c r="K7" s="829"/>
    </row>
    <row r="8" spans="1:11" ht="18" customHeight="1" thickTop="1" thickBot="1">
      <c r="A8" s="824">
        <v>505196122.75399995</v>
      </c>
      <c r="B8" s="825"/>
      <c r="C8" s="812">
        <f>C64</f>
        <v>42896235</v>
      </c>
      <c r="D8" s="813"/>
      <c r="E8" s="814"/>
      <c r="F8" s="839">
        <f>I64</f>
        <v>468674382.15599996</v>
      </c>
      <c r="G8" s="840"/>
      <c r="H8" s="830">
        <f>SUM(A8:E9)-F8</f>
        <v>79417975.59799999</v>
      </c>
      <c r="I8" s="830"/>
      <c r="J8" s="830"/>
      <c r="K8" s="831"/>
    </row>
    <row r="9" spans="1:11" ht="22.5" customHeight="1" thickTop="1" thickBot="1">
      <c r="A9" s="826"/>
      <c r="B9" s="827"/>
      <c r="C9" s="815"/>
      <c r="D9" s="816"/>
      <c r="E9" s="817"/>
      <c r="F9" s="841"/>
      <c r="G9" s="842"/>
      <c r="H9" s="832"/>
      <c r="I9" s="832"/>
      <c r="J9" s="832"/>
      <c r="K9" s="833"/>
    </row>
    <row r="10" spans="1:11" ht="18" customHeight="1">
      <c r="A10" s="697"/>
      <c r="B10" s="698"/>
      <c r="C10" s="698"/>
      <c r="D10" s="698"/>
      <c r="E10" s="698"/>
      <c r="F10" s="698"/>
      <c r="G10" s="698"/>
      <c r="H10" s="698"/>
      <c r="I10" s="698"/>
      <c r="J10" s="23"/>
      <c r="K10" s="23"/>
    </row>
    <row r="11" spans="1:11" ht="32.25" customHeight="1" thickBot="1">
      <c r="A11" s="818" t="s">
        <v>21</v>
      </c>
      <c r="B11" s="819"/>
      <c r="C11" s="819"/>
      <c r="D11" s="819"/>
      <c r="E11" s="819"/>
      <c r="F11" s="819"/>
      <c r="G11" s="819"/>
      <c r="H11" s="698"/>
      <c r="I11" s="698"/>
      <c r="J11" s="3"/>
      <c r="K11" s="3"/>
    </row>
    <row r="12" spans="1:11" ht="39.950000000000003" customHeight="1" thickBot="1">
      <c r="A12" s="861" t="s">
        <v>983</v>
      </c>
      <c r="B12" s="862"/>
      <c r="C12" s="862"/>
      <c r="D12" s="862"/>
      <c r="E12" s="863"/>
      <c r="F12" s="861" t="s">
        <v>984</v>
      </c>
      <c r="G12" s="862"/>
      <c r="H12" s="862"/>
      <c r="I12" s="862"/>
      <c r="J12" s="862"/>
      <c r="K12" s="863"/>
    </row>
    <row r="13" spans="1:11" ht="39.950000000000003" customHeight="1" thickBot="1">
      <c r="A13" s="459" t="s">
        <v>24</v>
      </c>
      <c r="B13" s="460" t="s">
        <v>25</v>
      </c>
      <c r="C13" s="461" t="s">
        <v>108</v>
      </c>
      <c r="D13" s="461" t="s">
        <v>27</v>
      </c>
      <c r="E13" s="700" t="s">
        <v>10</v>
      </c>
      <c r="F13" s="459" t="s">
        <v>24</v>
      </c>
      <c r="G13" s="460" t="s">
        <v>25</v>
      </c>
      <c r="H13" s="461" t="s">
        <v>108</v>
      </c>
      <c r="I13" s="461" t="s">
        <v>200</v>
      </c>
      <c r="J13" s="461" t="s">
        <v>655</v>
      </c>
      <c r="K13" s="700" t="s">
        <v>10</v>
      </c>
    </row>
    <row r="14" spans="1:11" ht="39.950000000000003" customHeight="1">
      <c r="A14" s="524">
        <v>1</v>
      </c>
      <c r="B14" s="680" t="s">
        <v>884</v>
      </c>
      <c r="C14" s="565">
        <v>84235</v>
      </c>
      <c r="D14" s="678" t="s">
        <v>885</v>
      </c>
      <c r="E14" s="567" t="s">
        <v>30</v>
      </c>
      <c r="F14" s="529">
        <v>1</v>
      </c>
      <c r="G14" s="500" t="s">
        <v>889</v>
      </c>
      <c r="H14" s="501">
        <v>50000</v>
      </c>
      <c r="I14" s="682"/>
      <c r="J14" s="576">
        <v>44382</v>
      </c>
      <c r="K14" s="497" t="s">
        <v>890</v>
      </c>
    </row>
    <row r="15" spans="1:11" ht="39.950000000000003" customHeight="1">
      <c r="A15" s="535">
        <v>2</v>
      </c>
      <c r="B15" s="706" t="s">
        <v>888</v>
      </c>
      <c r="C15" s="481">
        <v>8712000</v>
      </c>
      <c r="D15" s="707" t="s">
        <v>964</v>
      </c>
      <c r="E15" s="483" t="s">
        <v>35</v>
      </c>
      <c r="F15" s="529">
        <v>2</v>
      </c>
      <c r="G15" s="534" t="s">
        <v>896</v>
      </c>
      <c r="H15" s="561">
        <f>15200</f>
        <v>15200</v>
      </c>
      <c r="I15" s="561"/>
      <c r="J15" s="676" t="s">
        <v>35</v>
      </c>
      <c r="K15" s="497" t="s">
        <v>423</v>
      </c>
    </row>
    <row r="16" spans="1:11" ht="39.950000000000003" customHeight="1">
      <c r="A16" s="491">
        <v>3</v>
      </c>
      <c r="B16" s="686" t="s">
        <v>891</v>
      </c>
      <c r="C16" s="488">
        <v>9350000</v>
      </c>
      <c r="D16" s="705" t="s">
        <v>963</v>
      </c>
      <c r="E16" s="490" t="s">
        <v>417</v>
      </c>
      <c r="F16" s="529">
        <v>3</v>
      </c>
      <c r="G16" s="575" t="s">
        <v>892</v>
      </c>
      <c r="H16" s="561">
        <v>589315</v>
      </c>
      <c r="I16" s="561"/>
      <c r="J16" s="576">
        <v>44383</v>
      </c>
      <c r="K16" s="477" t="s">
        <v>887</v>
      </c>
    </row>
    <row r="17" spans="1:11" ht="39.950000000000003" customHeight="1">
      <c r="A17" s="529">
        <v>4</v>
      </c>
      <c r="B17" s="681" t="s">
        <v>894</v>
      </c>
      <c r="C17" s="473">
        <v>24750000</v>
      </c>
      <c r="D17" s="674" t="s">
        <v>35</v>
      </c>
      <c r="E17" s="475" t="s">
        <v>35</v>
      </c>
      <c r="F17" s="529">
        <v>4</v>
      </c>
      <c r="G17" s="500" t="s">
        <v>893</v>
      </c>
      <c r="H17" s="561">
        <f>949060</f>
        <v>949060</v>
      </c>
      <c r="I17" s="561"/>
      <c r="J17" s="576" t="s">
        <v>35</v>
      </c>
      <c r="K17" s="497"/>
    </row>
    <row r="18" spans="1:11" ht="39.950000000000003" customHeight="1">
      <c r="A18" s="491"/>
      <c r="B18" s="686"/>
      <c r="C18" s="488"/>
      <c r="D18" s="705"/>
      <c r="E18" s="490"/>
      <c r="F18" s="529">
        <v>5</v>
      </c>
      <c r="G18" s="500" t="s">
        <v>965</v>
      </c>
      <c r="H18" s="561">
        <f>500000</f>
        <v>500000</v>
      </c>
      <c r="I18" s="561"/>
      <c r="J18" s="576">
        <v>44384</v>
      </c>
      <c r="K18" s="477" t="s">
        <v>887</v>
      </c>
    </row>
    <row r="19" spans="1:11" ht="39.950000000000003" customHeight="1">
      <c r="A19" s="529"/>
      <c r="B19" s="681"/>
      <c r="C19" s="473"/>
      <c r="D19" s="674"/>
      <c r="E19" s="475"/>
      <c r="F19" s="529">
        <v>6</v>
      </c>
      <c r="G19" s="500" t="s">
        <v>895</v>
      </c>
      <c r="H19" s="530">
        <v>44000</v>
      </c>
      <c r="I19" s="530"/>
      <c r="J19" s="676" t="s">
        <v>35</v>
      </c>
      <c r="K19" s="497" t="s">
        <v>35</v>
      </c>
    </row>
    <row r="20" spans="1:11" ht="39.950000000000003" customHeight="1">
      <c r="A20" s="529"/>
      <c r="B20" s="472"/>
      <c r="C20" s="473"/>
      <c r="D20" s="672"/>
      <c r="E20" s="475"/>
      <c r="F20" s="529">
        <v>7</v>
      </c>
      <c r="G20" s="534" t="s">
        <v>897</v>
      </c>
      <c r="H20" s="561">
        <v>372041277</v>
      </c>
      <c r="I20" s="708">
        <v>325870117</v>
      </c>
      <c r="J20" s="676">
        <v>44386</v>
      </c>
      <c r="K20" s="497" t="s">
        <v>35</v>
      </c>
    </row>
    <row r="21" spans="1:11" ht="39.950000000000003" customHeight="1">
      <c r="A21" s="529"/>
      <c r="B21" s="472"/>
      <c r="C21" s="473"/>
      <c r="D21" s="672"/>
      <c r="E21" s="475"/>
      <c r="F21" s="529">
        <v>8</v>
      </c>
      <c r="G21" s="500" t="s">
        <v>898</v>
      </c>
      <c r="H21" s="532">
        <v>8333333</v>
      </c>
      <c r="I21" s="708">
        <f>H21-(H21*3.3%)</f>
        <v>8058333.0109999999</v>
      </c>
      <c r="J21" s="675" t="s">
        <v>35</v>
      </c>
      <c r="K21" s="497" t="s">
        <v>35</v>
      </c>
    </row>
    <row r="22" spans="1:11" ht="39.950000000000003" customHeight="1">
      <c r="A22" s="529"/>
      <c r="B22" s="472"/>
      <c r="C22" s="473"/>
      <c r="D22" s="672"/>
      <c r="E22" s="475"/>
      <c r="F22" s="529">
        <v>9</v>
      </c>
      <c r="G22" s="500" t="s">
        <v>899</v>
      </c>
      <c r="H22" s="532">
        <v>5000000</v>
      </c>
      <c r="I22" s="708">
        <v>5000000</v>
      </c>
      <c r="J22" s="675" t="s">
        <v>35</v>
      </c>
      <c r="K22" s="477" t="s">
        <v>900</v>
      </c>
    </row>
    <row r="23" spans="1:11" ht="39.950000000000003" customHeight="1">
      <c r="A23" s="529"/>
      <c r="B23" s="472"/>
      <c r="C23" s="473"/>
      <c r="D23" s="672"/>
      <c r="E23" s="475"/>
      <c r="F23" s="529">
        <v>10</v>
      </c>
      <c r="G23" s="500" t="s">
        <v>901</v>
      </c>
      <c r="H23" s="501">
        <v>4000000</v>
      </c>
      <c r="I23" s="708">
        <f t="shared" ref="I23:I40" si="0">H23-(H23*3.3%)</f>
        <v>3868000</v>
      </c>
      <c r="J23" s="675" t="s">
        <v>35</v>
      </c>
      <c r="K23" s="497"/>
    </row>
    <row r="24" spans="1:11" ht="39.950000000000003" customHeight="1">
      <c r="A24" s="529"/>
      <c r="B24" s="472"/>
      <c r="C24" s="473"/>
      <c r="D24" s="673"/>
      <c r="E24" s="475"/>
      <c r="F24" s="529">
        <v>11</v>
      </c>
      <c r="G24" s="500" t="s">
        <v>902</v>
      </c>
      <c r="H24" s="501">
        <v>3920000</v>
      </c>
      <c r="I24" s="708">
        <f t="shared" si="0"/>
        <v>3790640</v>
      </c>
      <c r="J24" s="675" t="s">
        <v>35</v>
      </c>
      <c r="K24" s="477" t="s">
        <v>903</v>
      </c>
    </row>
    <row r="25" spans="1:11" ht="39.950000000000003" customHeight="1">
      <c r="A25" s="529"/>
      <c r="B25" s="472"/>
      <c r="C25" s="473"/>
      <c r="D25" s="673"/>
      <c r="E25" s="475"/>
      <c r="F25" s="529">
        <v>12</v>
      </c>
      <c r="G25" s="533" t="s">
        <v>904</v>
      </c>
      <c r="H25" s="532">
        <f>7500000+241935</f>
        <v>7741935</v>
      </c>
      <c r="I25" s="708">
        <f t="shared" si="0"/>
        <v>7486451.1449999996</v>
      </c>
      <c r="J25" s="675" t="s">
        <v>35</v>
      </c>
      <c r="K25" s="477" t="s">
        <v>905</v>
      </c>
    </row>
    <row r="26" spans="1:11" ht="39.950000000000003" customHeight="1">
      <c r="A26" s="529"/>
      <c r="B26" s="472"/>
      <c r="C26" s="473"/>
      <c r="D26" s="674"/>
      <c r="E26" s="475"/>
      <c r="F26" s="529">
        <v>13</v>
      </c>
      <c r="G26" s="533" t="s">
        <v>906</v>
      </c>
      <c r="H26" s="532">
        <v>1766667</v>
      </c>
      <c r="I26" s="708">
        <f t="shared" si="0"/>
        <v>1708366.9890000001</v>
      </c>
      <c r="J26" s="675" t="s">
        <v>35</v>
      </c>
      <c r="K26" s="477" t="s">
        <v>907</v>
      </c>
    </row>
    <row r="27" spans="1:11" ht="39.950000000000003" customHeight="1">
      <c r="A27" s="529"/>
      <c r="B27" s="472"/>
      <c r="C27" s="473"/>
      <c r="D27" s="673"/>
      <c r="E27" s="475"/>
      <c r="F27" s="529">
        <v>14</v>
      </c>
      <c r="G27" s="533" t="s">
        <v>908</v>
      </c>
      <c r="H27" s="532">
        <v>3513333</v>
      </c>
      <c r="I27" s="708">
        <f t="shared" si="0"/>
        <v>3397393.0109999999</v>
      </c>
      <c r="J27" s="675" t="s">
        <v>35</v>
      </c>
      <c r="K27" s="477" t="s">
        <v>909</v>
      </c>
    </row>
    <row r="28" spans="1:11" ht="39.950000000000003" customHeight="1">
      <c r="A28" s="529"/>
      <c r="B28" s="472"/>
      <c r="C28" s="473"/>
      <c r="D28" s="672"/>
      <c r="E28" s="475"/>
      <c r="F28" s="529">
        <v>15</v>
      </c>
      <c r="G28" s="500" t="s">
        <v>910</v>
      </c>
      <c r="H28" s="501">
        <v>5500000</v>
      </c>
      <c r="I28" s="708">
        <f t="shared" si="0"/>
        <v>5318500</v>
      </c>
      <c r="J28" s="675" t="s">
        <v>35</v>
      </c>
      <c r="K28" s="477" t="s">
        <v>911</v>
      </c>
    </row>
    <row r="29" spans="1:11" ht="39.950000000000003" customHeight="1">
      <c r="A29" s="529"/>
      <c r="B29" s="472"/>
      <c r="C29" s="473"/>
      <c r="D29" s="671"/>
      <c r="E29" s="475"/>
      <c r="F29" s="529">
        <v>16</v>
      </c>
      <c r="G29" s="500" t="s">
        <v>912</v>
      </c>
      <c r="H29" s="501">
        <v>6000000</v>
      </c>
      <c r="I29" s="708">
        <f t="shared" si="0"/>
        <v>5802000</v>
      </c>
      <c r="J29" s="675" t="s">
        <v>35</v>
      </c>
      <c r="K29" s="511"/>
    </row>
    <row r="30" spans="1:11" ht="39.950000000000003" customHeight="1">
      <c r="A30" s="529"/>
      <c r="B30" s="472"/>
      <c r="C30" s="473"/>
      <c r="D30" s="671"/>
      <c r="E30" s="475"/>
      <c r="F30" s="529">
        <v>17</v>
      </c>
      <c r="G30" s="500" t="s">
        <v>913</v>
      </c>
      <c r="H30" s="532">
        <v>6000000</v>
      </c>
      <c r="I30" s="708">
        <f t="shared" si="0"/>
        <v>5802000</v>
      </c>
      <c r="J30" s="675" t="s">
        <v>35</v>
      </c>
      <c r="K30" s="477" t="s">
        <v>911</v>
      </c>
    </row>
    <row r="31" spans="1:11" ht="39.950000000000003" customHeight="1">
      <c r="A31" s="529"/>
      <c r="B31" s="472"/>
      <c r="C31" s="473"/>
      <c r="D31" s="671"/>
      <c r="E31" s="475"/>
      <c r="F31" s="529">
        <v>18</v>
      </c>
      <c r="G31" s="500" t="s">
        <v>914</v>
      </c>
      <c r="H31" s="501">
        <v>6800000</v>
      </c>
      <c r="I31" s="708">
        <f t="shared" si="0"/>
        <v>6575600</v>
      </c>
      <c r="J31" s="675" t="s">
        <v>35</v>
      </c>
      <c r="K31" s="477"/>
    </row>
    <row r="32" spans="1:11" ht="39.950000000000003" customHeight="1">
      <c r="A32" s="529"/>
      <c r="B32" s="472"/>
      <c r="C32" s="473"/>
      <c r="D32" s="499"/>
      <c r="E32" s="475"/>
      <c r="F32" s="529">
        <v>19</v>
      </c>
      <c r="G32" s="500" t="s">
        <v>915</v>
      </c>
      <c r="H32" s="532">
        <v>5800000</v>
      </c>
      <c r="I32" s="708">
        <f t="shared" si="0"/>
        <v>5608600</v>
      </c>
      <c r="J32" s="675" t="s">
        <v>35</v>
      </c>
      <c r="K32" s="477"/>
    </row>
    <row r="33" spans="1:11" ht="39.950000000000003" customHeight="1">
      <c r="A33" s="529"/>
      <c r="B33" s="472"/>
      <c r="C33" s="473"/>
      <c r="D33" s="499"/>
      <c r="E33" s="475"/>
      <c r="F33" s="529">
        <v>20</v>
      </c>
      <c r="G33" s="500" t="s">
        <v>916</v>
      </c>
      <c r="H33" s="532">
        <v>6500000</v>
      </c>
      <c r="I33" s="708">
        <f t="shared" si="0"/>
        <v>6285500</v>
      </c>
      <c r="J33" s="675" t="s">
        <v>35</v>
      </c>
      <c r="K33" s="511"/>
    </row>
    <row r="34" spans="1:11" ht="39.950000000000003" customHeight="1">
      <c r="A34" s="529"/>
      <c r="B34" s="472"/>
      <c r="C34" s="473"/>
      <c r="D34" s="499"/>
      <c r="E34" s="475"/>
      <c r="F34" s="529">
        <v>21</v>
      </c>
      <c r="G34" s="500" t="s">
        <v>917</v>
      </c>
      <c r="H34" s="532">
        <v>6000000</v>
      </c>
      <c r="I34" s="708">
        <f t="shared" si="0"/>
        <v>5802000</v>
      </c>
      <c r="J34" s="675" t="s">
        <v>35</v>
      </c>
      <c r="K34" s="511"/>
    </row>
    <row r="35" spans="1:11" ht="39.950000000000003" customHeight="1">
      <c r="A35" s="529"/>
      <c r="B35" s="472"/>
      <c r="C35" s="473"/>
      <c r="D35" s="499"/>
      <c r="E35" s="475"/>
      <c r="F35" s="529">
        <v>22</v>
      </c>
      <c r="G35" s="500" t="s">
        <v>918</v>
      </c>
      <c r="H35" s="532">
        <v>5500000</v>
      </c>
      <c r="I35" s="708">
        <f t="shared" si="0"/>
        <v>5318500</v>
      </c>
      <c r="J35" s="675" t="s">
        <v>35</v>
      </c>
      <c r="K35" s="477"/>
    </row>
    <row r="36" spans="1:11" ht="39.950000000000003" customHeight="1">
      <c r="A36" s="529"/>
      <c r="B36" s="472"/>
      <c r="C36" s="473"/>
      <c r="D36" s="499"/>
      <c r="E36" s="475"/>
      <c r="F36" s="529">
        <v>23</v>
      </c>
      <c r="G36" s="500" t="s">
        <v>919</v>
      </c>
      <c r="H36" s="532">
        <v>5500000</v>
      </c>
      <c r="I36" s="708">
        <f t="shared" si="0"/>
        <v>5318500</v>
      </c>
      <c r="J36" s="675" t="s">
        <v>35</v>
      </c>
      <c r="K36" s="511"/>
    </row>
    <row r="37" spans="1:11" ht="39.950000000000003" customHeight="1">
      <c r="A37" s="529"/>
      <c r="B37" s="472"/>
      <c r="C37" s="473"/>
      <c r="D37" s="499"/>
      <c r="E37" s="475"/>
      <c r="F37" s="529">
        <v>24</v>
      </c>
      <c r="G37" s="500" t="s">
        <v>920</v>
      </c>
      <c r="H37" s="532">
        <v>8000000</v>
      </c>
      <c r="I37" s="708">
        <f t="shared" si="0"/>
        <v>7736000</v>
      </c>
      <c r="J37" s="675" t="s">
        <v>35</v>
      </c>
      <c r="K37" s="477"/>
    </row>
    <row r="38" spans="1:11" ht="39.950000000000003" customHeight="1">
      <c r="A38" s="529"/>
      <c r="B38" s="472"/>
      <c r="C38" s="473"/>
      <c r="D38" s="499"/>
      <c r="E38" s="475"/>
      <c r="F38" s="529">
        <v>25</v>
      </c>
      <c r="G38" s="533" t="s">
        <v>921</v>
      </c>
      <c r="H38" s="550">
        <v>4500000</v>
      </c>
      <c r="I38" s="708">
        <f t="shared" si="0"/>
        <v>4351500</v>
      </c>
      <c r="J38" s="675" t="s">
        <v>35</v>
      </c>
      <c r="K38" s="477"/>
    </row>
    <row r="39" spans="1:11" ht="39.950000000000003" customHeight="1">
      <c r="A39" s="529"/>
      <c r="B39" s="472"/>
      <c r="C39" s="473"/>
      <c r="D39" s="499"/>
      <c r="E39" s="475"/>
      <c r="F39" s="529">
        <v>26</v>
      </c>
      <c r="G39" s="533" t="s">
        <v>922</v>
      </c>
      <c r="H39" s="532">
        <v>6000000</v>
      </c>
      <c r="I39" s="708">
        <f t="shared" si="0"/>
        <v>5802000</v>
      </c>
      <c r="J39" s="675" t="s">
        <v>35</v>
      </c>
      <c r="K39" s="477"/>
    </row>
    <row r="40" spans="1:11" ht="39.950000000000003" customHeight="1">
      <c r="A40" s="529"/>
      <c r="B40" s="472"/>
      <c r="C40" s="473"/>
      <c r="D40" s="499"/>
      <c r="E40" s="475"/>
      <c r="F40" s="529">
        <v>27</v>
      </c>
      <c r="G40" s="533" t="s">
        <v>923</v>
      </c>
      <c r="H40" s="532">
        <f>8000000</f>
        <v>8000000</v>
      </c>
      <c r="I40" s="708">
        <f t="shared" si="0"/>
        <v>7736000</v>
      </c>
      <c r="J40" s="675" t="s">
        <v>35</v>
      </c>
      <c r="K40" s="477"/>
    </row>
    <row r="41" spans="1:11" ht="39.950000000000003" customHeight="1">
      <c r="A41" s="529"/>
      <c r="B41" s="472"/>
      <c r="C41" s="473"/>
      <c r="D41" s="499"/>
      <c r="E41" s="475"/>
      <c r="F41" s="529">
        <v>28</v>
      </c>
      <c r="G41" s="500" t="s">
        <v>230</v>
      </c>
      <c r="H41" s="532">
        <v>9350000</v>
      </c>
      <c r="I41" s="501"/>
      <c r="J41" s="675" t="s">
        <v>35</v>
      </c>
      <c r="K41" s="477"/>
    </row>
    <row r="42" spans="1:11" ht="39.950000000000003" customHeight="1">
      <c r="A42" s="529"/>
      <c r="B42" s="472"/>
      <c r="C42" s="473"/>
      <c r="D42" s="499"/>
      <c r="E42" s="475"/>
      <c r="F42" s="529">
        <v>29</v>
      </c>
      <c r="G42" s="500" t="s">
        <v>924</v>
      </c>
      <c r="H42" s="532">
        <v>6050000</v>
      </c>
      <c r="I42" s="532"/>
      <c r="J42" s="675" t="s">
        <v>35</v>
      </c>
      <c r="K42" s="477"/>
    </row>
    <row r="43" spans="1:11" ht="39.950000000000003" customHeight="1">
      <c r="A43" s="529"/>
      <c r="B43" s="472"/>
      <c r="C43" s="473"/>
      <c r="D43" s="499"/>
      <c r="E43" s="475"/>
      <c r="F43" s="529">
        <v>30</v>
      </c>
      <c r="G43" s="500" t="s">
        <v>925</v>
      </c>
      <c r="H43" s="532">
        <v>7150000</v>
      </c>
      <c r="I43" s="501"/>
      <c r="J43" s="675" t="s">
        <v>35</v>
      </c>
      <c r="K43" s="477"/>
    </row>
    <row r="44" spans="1:11" ht="39.950000000000003" customHeight="1">
      <c r="A44" s="529"/>
      <c r="B44" s="472"/>
      <c r="C44" s="473"/>
      <c r="D44" s="499"/>
      <c r="E44" s="475"/>
      <c r="F44" s="529">
        <v>31</v>
      </c>
      <c r="G44" s="500" t="s">
        <v>926</v>
      </c>
      <c r="H44" s="532">
        <v>7025806</v>
      </c>
      <c r="I44" s="501"/>
      <c r="J44" s="675" t="s">
        <v>35</v>
      </c>
      <c r="K44" s="477"/>
    </row>
    <row r="45" spans="1:11" ht="39.950000000000003" customHeight="1">
      <c r="A45" s="529"/>
      <c r="B45" s="472"/>
      <c r="C45" s="473"/>
      <c r="D45" s="499"/>
      <c r="E45" s="475"/>
      <c r="F45" s="529">
        <v>32</v>
      </c>
      <c r="G45" s="500" t="s">
        <v>927</v>
      </c>
      <c r="H45" s="532">
        <v>15000</v>
      </c>
      <c r="I45" s="683"/>
      <c r="J45" s="675" t="s">
        <v>35</v>
      </c>
      <c r="K45" s="554"/>
    </row>
    <row r="46" spans="1:11" ht="39.950000000000003" customHeight="1">
      <c r="A46" s="529"/>
      <c r="B46" s="472"/>
      <c r="C46" s="473"/>
      <c r="D46" s="499"/>
      <c r="E46" s="475"/>
      <c r="F46" s="529">
        <v>33</v>
      </c>
      <c r="G46" s="500" t="s">
        <v>928</v>
      </c>
      <c r="H46" s="532">
        <v>100000</v>
      </c>
      <c r="I46" s="683"/>
      <c r="J46" s="675" t="s">
        <v>35</v>
      </c>
      <c r="K46" s="554"/>
    </row>
    <row r="47" spans="1:11" ht="39.950000000000003" customHeight="1">
      <c r="A47" s="529"/>
      <c r="B47" s="472"/>
      <c r="C47" s="473"/>
      <c r="D47" s="499"/>
      <c r="E47" s="475"/>
      <c r="F47" s="535">
        <v>34</v>
      </c>
      <c r="G47" s="506" t="s">
        <v>929</v>
      </c>
      <c r="H47" s="538">
        <f>200000</f>
        <v>200000</v>
      </c>
      <c r="I47" s="596"/>
      <c r="J47" s="709" t="s">
        <v>35</v>
      </c>
      <c r="K47" s="509"/>
    </row>
    <row r="48" spans="1:11" ht="39.950000000000003" customHeight="1">
      <c r="A48" s="529"/>
      <c r="B48" s="472"/>
      <c r="C48" s="473"/>
      <c r="D48" s="499"/>
      <c r="E48" s="475"/>
      <c r="F48" s="491">
        <v>35</v>
      </c>
      <c r="G48" s="534" t="s">
        <v>967</v>
      </c>
      <c r="H48" s="536">
        <f>1784760</f>
        <v>1784760</v>
      </c>
      <c r="I48" s="595"/>
      <c r="J48" s="576">
        <v>44382</v>
      </c>
      <c r="K48" s="497" t="s">
        <v>966</v>
      </c>
    </row>
    <row r="49" spans="1:11" ht="39.950000000000003" customHeight="1">
      <c r="A49" s="529"/>
      <c r="B49" s="472"/>
      <c r="C49" s="473"/>
      <c r="D49" s="499"/>
      <c r="E49" s="475"/>
      <c r="F49" s="529">
        <v>36</v>
      </c>
      <c r="G49" s="534" t="s">
        <v>976</v>
      </c>
      <c r="H49" s="536">
        <f>26700+27800</f>
        <v>54500</v>
      </c>
      <c r="I49" s="536"/>
      <c r="J49" s="576">
        <v>44383</v>
      </c>
      <c r="K49" s="510" t="s">
        <v>35</v>
      </c>
    </row>
    <row r="50" spans="1:11" ht="39.950000000000003" customHeight="1">
      <c r="A50" s="529"/>
      <c r="B50" s="472"/>
      <c r="C50" s="473"/>
      <c r="D50" s="499"/>
      <c r="E50" s="475"/>
      <c r="F50" s="529">
        <v>37</v>
      </c>
      <c r="G50" s="500" t="s">
        <v>977</v>
      </c>
      <c r="H50" s="532">
        <f>157000</f>
        <v>157000</v>
      </c>
      <c r="I50" s="532"/>
      <c r="J50" s="675" t="s">
        <v>35</v>
      </c>
      <c r="K50" s="511" t="s">
        <v>35</v>
      </c>
    </row>
    <row r="51" spans="1:11" ht="39.950000000000003" customHeight="1">
      <c r="A51" s="529"/>
      <c r="B51" s="472"/>
      <c r="C51" s="473"/>
      <c r="D51" s="499"/>
      <c r="E51" s="475"/>
      <c r="F51" s="529">
        <v>38</v>
      </c>
      <c r="G51" s="500" t="s">
        <v>968</v>
      </c>
      <c r="H51" s="532">
        <v>91769</v>
      </c>
      <c r="I51" s="532"/>
      <c r="J51" s="675" t="s">
        <v>35</v>
      </c>
      <c r="K51" s="511" t="s">
        <v>35</v>
      </c>
    </row>
    <row r="52" spans="1:11" ht="39.950000000000003" customHeight="1">
      <c r="A52" s="529"/>
      <c r="B52" s="472"/>
      <c r="C52" s="473"/>
      <c r="D52" s="499"/>
      <c r="E52" s="475"/>
      <c r="F52" s="529">
        <v>39</v>
      </c>
      <c r="G52" s="500" t="s">
        <v>969</v>
      </c>
      <c r="H52" s="532">
        <f>30000</f>
        <v>30000</v>
      </c>
      <c r="I52" s="532"/>
      <c r="J52" s="675" t="s">
        <v>35</v>
      </c>
      <c r="K52" s="511" t="s">
        <v>35</v>
      </c>
    </row>
    <row r="53" spans="1:11" ht="39.950000000000003" customHeight="1">
      <c r="A53" s="529"/>
      <c r="B53" s="472"/>
      <c r="C53" s="473"/>
      <c r="D53" s="499"/>
      <c r="E53" s="475"/>
      <c r="F53" s="529">
        <v>40</v>
      </c>
      <c r="G53" s="500" t="s">
        <v>975</v>
      </c>
      <c r="H53" s="532">
        <f>22100</f>
        <v>22100</v>
      </c>
      <c r="I53" s="532"/>
      <c r="J53" s="675" t="s">
        <v>35</v>
      </c>
      <c r="K53" s="511" t="s">
        <v>35</v>
      </c>
    </row>
    <row r="54" spans="1:11" ht="39.950000000000003" customHeight="1">
      <c r="A54" s="529"/>
      <c r="B54" s="472"/>
      <c r="C54" s="473"/>
      <c r="D54" s="499"/>
      <c r="E54" s="475"/>
      <c r="F54" s="529">
        <v>41</v>
      </c>
      <c r="G54" s="500" t="s">
        <v>974</v>
      </c>
      <c r="H54" s="532">
        <f>19700</f>
        <v>19700</v>
      </c>
      <c r="I54" s="532"/>
      <c r="J54" s="675" t="s">
        <v>35</v>
      </c>
      <c r="K54" s="510" t="s">
        <v>35</v>
      </c>
    </row>
    <row r="55" spans="1:11" ht="39.950000000000003" customHeight="1">
      <c r="A55" s="529"/>
      <c r="B55" s="472"/>
      <c r="C55" s="473"/>
      <c r="D55" s="499"/>
      <c r="E55" s="475"/>
      <c r="F55" s="529">
        <v>42</v>
      </c>
      <c r="G55" s="500" t="s">
        <v>970</v>
      </c>
      <c r="H55" s="532">
        <f>6860</f>
        <v>6860</v>
      </c>
      <c r="I55" s="532"/>
      <c r="J55" s="576">
        <v>44384</v>
      </c>
      <c r="K55" s="511" t="s">
        <v>35</v>
      </c>
    </row>
    <row r="56" spans="1:11" ht="39.950000000000003" customHeight="1">
      <c r="A56" s="529"/>
      <c r="B56" s="472"/>
      <c r="C56" s="473"/>
      <c r="D56" s="499"/>
      <c r="E56" s="475"/>
      <c r="F56" s="529">
        <v>43</v>
      </c>
      <c r="G56" s="500" t="s">
        <v>971</v>
      </c>
      <c r="H56" s="501">
        <f>103600</f>
        <v>103600</v>
      </c>
      <c r="I56" s="532"/>
      <c r="J56" s="675" t="s">
        <v>35</v>
      </c>
      <c r="K56" s="511" t="s">
        <v>35</v>
      </c>
    </row>
    <row r="57" spans="1:11" ht="39.950000000000003" customHeight="1">
      <c r="A57" s="529"/>
      <c r="B57" s="472"/>
      <c r="C57" s="473"/>
      <c r="D57" s="499"/>
      <c r="E57" s="475"/>
      <c r="F57" s="529">
        <v>44</v>
      </c>
      <c r="G57" s="500" t="s">
        <v>973</v>
      </c>
      <c r="H57" s="501">
        <f>235290</f>
        <v>235290</v>
      </c>
      <c r="I57" s="532"/>
      <c r="J57" s="576">
        <v>44386</v>
      </c>
      <c r="K57" s="511"/>
    </row>
    <row r="58" spans="1:11" ht="39.950000000000003" customHeight="1">
      <c r="A58" s="529"/>
      <c r="B58" s="472"/>
      <c r="C58" s="473"/>
      <c r="D58" s="499"/>
      <c r="E58" s="475"/>
      <c r="F58" s="529">
        <v>45</v>
      </c>
      <c r="G58" s="533" t="s">
        <v>978</v>
      </c>
      <c r="H58" s="501">
        <f>483960</f>
        <v>483960</v>
      </c>
      <c r="I58" s="532"/>
      <c r="J58" s="675" t="s">
        <v>35</v>
      </c>
      <c r="K58" s="511"/>
    </row>
    <row r="59" spans="1:11" ht="39.950000000000003" customHeight="1">
      <c r="A59" s="529"/>
      <c r="B59" s="472"/>
      <c r="C59" s="473"/>
      <c r="D59" s="499"/>
      <c r="E59" s="475"/>
      <c r="F59" s="529">
        <v>46</v>
      </c>
      <c r="G59" s="500" t="s">
        <v>972</v>
      </c>
      <c r="H59" s="501">
        <f>24500</f>
        <v>24500</v>
      </c>
      <c r="I59" s="532"/>
      <c r="J59" s="675" t="s">
        <v>35</v>
      </c>
      <c r="K59" s="511"/>
    </row>
    <row r="60" spans="1:11" ht="39.950000000000003" customHeight="1">
      <c r="A60" s="529"/>
      <c r="B60" s="472"/>
      <c r="C60" s="473"/>
      <c r="D60" s="499"/>
      <c r="E60" s="475"/>
      <c r="F60" s="529">
        <v>47</v>
      </c>
      <c r="G60" s="500" t="s">
        <v>979</v>
      </c>
      <c r="H60" s="501">
        <f>1894000</f>
        <v>1894000</v>
      </c>
      <c r="I60" s="532"/>
      <c r="J60" s="675" t="s">
        <v>35</v>
      </c>
      <c r="K60" s="511"/>
    </row>
    <row r="61" spans="1:11" ht="39.950000000000003" customHeight="1">
      <c r="A61" s="529"/>
      <c r="B61" s="472"/>
      <c r="C61" s="473"/>
      <c r="D61" s="499"/>
      <c r="E61" s="475"/>
      <c r="F61" s="529">
        <v>48</v>
      </c>
      <c r="G61" s="500" t="s">
        <v>980</v>
      </c>
      <c r="H61" s="501">
        <f>21850</f>
        <v>21850</v>
      </c>
      <c r="I61" s="532"/>
      <c r="J61" s="675" t="s">
        <v>35</v>
      </c>
      <c r="K61" s="511"/>
    </row>
    <row r="62" spans="1:11" ht="39.950000000000003" customHeight="1">
      <c r="A62" s="529"/>
      <c r="B62" s="472"/>
      <c r="C62" s="473"/>
      <c r="D62" s="499"/>
      <c r="E62" s="475"/>
      <c r="F62" s="529">
        <v>49</v>
      </c>
      <c r="G62" s="500" t="s">
        <v>981</v>
      </c>
      <c r="H62" s="501">
        <f>116400</f>
        <v>116400</v>
      </c>
      <c r="I62" s="532"/>
      <c r="J62" s="675" t="s">
        <v>35</v>
      </c>
      <c r="K62" s="511"/>
    </row>
    <row r="63" spans="1:11" ht="39.950000000000003" customHeight="1" thickBot="1">
      <c r="A63" s="529"/>
      <c r="B63" s="472"/>
      <c r="C63" s="473"/>
      <c r="D63" s="499"/>
      <c r="E63" s="475"/>
      <c r="F63" s="529">
        <v>50</v>
      </c>
      <c r="G63" s="500" t="s">
        <v>982</v>
      </c>
      <c r="H63" s="501">
        <f>4000</f>
        <v>4000</v>
      </c>
      <c r="I63" s="532"/>
      <c r="J63" s="675" t="s">
        <v>35</v>
      </c>
      <c r="K63" s="511"/>
    </row>
    <row r="64" spans="1:11" ht="39.950000000000003" customHeight="1" thickBot="1">
      <c r="A64" s="513"/>
      <c r="B64" s="514" t="s">
        <v>72</v>
      </c>
      <c r="C64" s="515">
        <f>SUM(C14:C63)</f>
        <v>42896235</v>
      </c>
      <c r="D64" s="516"/>
      <c r="E64" s="517"/>
      <c r="F64" s="518"/>
      <c r="G64" s="514" t="s">
        <v>72</v>
      </c>
      <c r="H64" s="519">
        <f>SUM(H14:H47)</f>
        <v>518454926</v>
      </c>
      <c r="I64" s="519">
        <f>SUM(H14:H19,I20:I40,H41:H47)</f>
        <v>468674382.15599996</v>
      </c>
      <c r="J64" s="520" t="s">
        <v>73</v>
      </c>
      <c r="K64" s="521"/>
    </row>
    <row r="65" spans="1:11" ht="39.950000000000003" customHeight="1" thickBot="1">
      <c r="A65" s="856" t="s">
        <v>74</v>
      </c>
      <c r="B65" s="857"/>
      <c r="C65" s="857"/>
      <c r="D65" s="857"/>
      <c r="E65" s="857"/>
      <c r="F65" s="857"/>
      <c r="G65" s="857"/>
      <c r="H65" s="699"/>
      <c r="I65" s="699"/>
      <c r="J65" s="522"/>
      <c r="K65" s="522"/>
    </row>
    <row r="66" spans="1:11" ht="39.950000000000003" customHeight="1" thickBot="1">
      <c r="A66" s="858" t="s">
        <v>985</v>
      </c>
      <c r="B66" s="859"/>
      <c r="C66" s="859"/>
      <c r="D66" s="859"/>
      <c r="E66" s="860"/>
      <c r="F66" s="861" t="s">
        <v>986</v>
      </c>
      <c r="G66" s="862"/>
      <c r="H66" s="862"/>
      <c r="I66" s="862"/>
      <c r="J66" s="862"/>
      <c r="K66" s="863"/>
    </row>
    <row r="67" spans="1:11" ht="39.950000000000003" customHeight="1" thickBot="1">
      <c r="A67" s="459" t="s">
        <v>24</v>
      </c>
      <c r="B67" s="460" t="s">
        <v>25</v>
      </c>
      <c r="C67" s="461" t="s">
        <v>108</v>
      </c>
      <c r="D67" s="461" t="s">
        <v>27</v>
      </c>
      <c r="E67" s="700" t="s">
        <v>10</v>
      </c>
      <c r="F67" s="523" t="s">
        <v>24</v>
      </c>
      <c r="G67" s="460" t="s">
        <v>25</v>
      </c>
      <c r="H67" s="461" t="s">
        <v>108</v>
      </c>
      <c r="I67" s="461" t="s">
        <v>200</v>
      </c>
      <c r="J67" s="461" t="s">
        <v>655</v>
      </c>
      <c r="K67" s="700" t="s">
        <v>10</v>
      </c>
    </row>
    <row r="68" spans="1:11" ht="39.950000000000003" customHeight="1">
      <c r="A68" s="524"/>
      <c r="B68" s="680"/>
      <c r="C68" s="565"/>
      <c r="D68" s="678"/>
      <c r="E68" s="567"/>
      <c r="F68" s="524">
        <v>1</v>
      </c>
      <c r="G68" s="500" t="s">
        <v>235</v>
      </c>
      <c r="H68" s="532">
        <v>17322320</v>
      </c>
      <c r="I68" s="623"/>
      <c r="J68" s="503">
        <v>44389</v>
      </c>
      <c r="K68" s="477" t="s">
        <v>887</v>
      </c>
    </row>
    <row r="69" spans="1:11" ht="39.950000000000003" customHeight="1">
      <c r="A69" s="491"/>
      <c r="B69" s="686"/>
      <c r="C69" s="488"/>
      <c r="D69" s="687"/>
      <c r="E69" s="490"/>
      <c r="F69" s="529">
        <v>2</v>
      </c>
      <c r="G69" s="476" t="s">
        <v>935</v>
      </c>
      <c r="H69" s="536">
        <v>16926392</v>
      </c>
      <c r="I69" s="501"/>
      <c r="J69" s="675" t="s">
        <v>35</v>
      </c>
      <c r="K69" s="497"/>
    </row>
    <row r="70" spans="1:11" ht="39.950000000000003" customHeight="1">
      <c r="A70" s="529"/>
      <c r="B70" s="679"/>
      <c r="C70" s="473"/>
      <c r="D70" s="674"/>
      <c r="E70" s="475"/>
      <c r="F70" s="529">
        <v>3</v>
      </c>
      <c r="G70" s="500" t="s">
        <v>930</v>
      </c>
      <c r="H70" s="532">
        <v>26710020</v>
      </c>
      <c r="I70" s="536"/>
      <c r="J70" s="688" t="s">
        <v>35</v>
      </c>
      <c r="K70" s="477"/>
    </row>
    <row r="71" spans="1:11" ht="39.950000000000003" customHeight="1">
      <c r="A71" s="529"/>
      <c r="B71" s="679"/>
      <c r="C71" s="473"/>
      <c r="D71" s="674"/>
      <c r="E71" s="475"/>
      <c r="F71" s="529">
        <v>4</v>
      </c>
      <c r="G71" s="500" t="s">
        <v>931</v>
      </c>
      <c r="H71" s="532">
        <v>6213920</v>
      </c>
      <c r="I71" s="532"/>
      <c r="J71" s="675" t="s">
        <v>35</v>
      </c>
      <c r="K71" s="497"/>
    </row>
    <row r="72" spans="1:11" ht="39.950000000000003" customHeight="1">
      <c r="A72" s="529"/>
      <c r="B72" s="681"/>
      <c r="C72" s="468"/>
      <c r="D72" s="674"/>
      <c r="E72" s="475"/>
      <c r="F72" s="529">
        <v>5</v>
      </c>
      <c r="G72" s="500" t="s">
        <v>932</v>
      </c>
      <c r="H72" s="532">
        <v>2159690</v>
      </c>
      <c r="I72" s="532"/>
      <c r="J72" s="675" t="s">
        <v>35</v>
      </c>
      <c r="K72" s="497"/>
    </row>
    <row r="73" spans="1:11" ht="39.950000000000003" customHeight="1">
      <c r="A73" s="529"/>
      <c r="B73" s="681"/>
      <c r="C73" s="468"/>
      <c r="D73" s="671"/>
      <c r="E73" s="475"/>
      <c r="F73" s="529">
        <v>6</v>
      </c>
      <c r="G73" s="500" t="s">
        <v>933</v>
      </c>
      <c r="H73" s="532">
        <v>30966420</v>
      </c>
      <c r="I73" s="532"/>
      <c r="J73" s="675" t="s">
        <v>35</v>
      </c>
      <c r="K73" s="497"/>
    </row>
    <row r="74" spans="1:11" ht="39.950000000000003" customHeight="1">
      <c r="A74" s="529"/>
      <c r="B74" s="681"/>
      <c r="C74" s="468"/>
      <c r="D74" s="671"/>
      <c r="E74" s="475"/>
      <c r="F74" s="529">
        <v>7</v>
      </c>
      <c r="G74" s="500" t="s">
        <v>934</v>
      </c>
      <c r="H74" s="532">
        <v>3500000</v>
      </c>
      <c r="I74" s="532"/>
      <c r="J74" s="675" t="s">
        <v>35</v>
      </c>
      <c r="K74" s="497"/>
    </row>
    <row r="75" spans="1:11" ht="39.950000000000003" customHeight="1" thickBot="1">
      <c r="A75" s="529"/>
      <c r="B75" s="681"/>
      <c r="C75" s="468"/>
      <c r="D75" s="671"/>
      <c r="E75" s="475"/>
      <c r="F75" s="529">
        <v>8</v>
      </c>
      <c r="G75" s="500" t="s">
        <v>886</v>
      </c>
      <c r="H75" s="532">
        <f>9600397-440000</f>
        <v>9160397</v>
      </c>
      <c r="I75" s="532"/>
      <c r="J75" s="675" t="s">
        <v>35</v>
      </c>
      <c r="K75" s="477"/>
    </row>
    <row r="76" spans="1:11" ht="39.75" customHeight="1" thickBot="1">
      <c r="A76" s="513"/>
      <c r="B76" s="514" t="s">
        <v>72</v>
      </c>
      <c r="C76" s="519">
        <f>SUM(C70:C75)</f>
        <v>0</v>
      </c>
      <c r="D76" s="516"/>
      <c r="E76" s="517"/>
      <c r="F76" s="513"/>
      <c r="G76" s="514" t="s">
        <v>72</v>
      </c>
      <c r="H76" s="519">
        <f>SUM(H68:H75)</f>
        <v>112959159</v>
      </c>
      <c r="I76" s="519"/>
      <c r="J76" s="544"/>
      <c r="K76" s="517"/>
    </row>
  </sheetData>
  <mergeCells count="17">
    <mergeCell ref="A2:K3"/>
    <mergeCell ref="A5:J5"/>
    <mergeCell ref="A6:G6"/>
    <mergeCell ref="A7:B7"/>
    <mergeCell ref="C7:E7"/>
    <mergeCell ref="F7:G7"/>
    <mergeCell ref="H7:K7"/>
    <mergeCell ref="A65:G65"/>
    <mergeCell ref="A66:E66"/>
    <mergeCell ref="F66:K66"/>
    <mergeCell ref="A8:B9"/>
    <mergeCell ref="C8:E9"/>
    <mergeCell ref="F8:G9"/>
    <mergeCell ref="H8:K9"/>
    <mergeCell ref="A11:G11"/>
    <mergeCell ref="A12:E12"/>
    <mergeCell ref="F12:K12"/>
  </mergeCells>
  <phoneticPr fontId="2" type="noConversion"/>
  <printOptions horizontalCentered="1"/>
  <pageMargins left="0" right="0" top="0" bottom="0" header="0" footer="0"/>
  <pageSetup paperSize="9" scale="34" orientation="portrait" r:id="rId1"/>
  <rowBreaks count="1" manualBreakCount="1">
    <brk id="64" min="5" max="10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03B-0AF8-4674-8422-B24326935150}">
  <sheetPr>
    <tabColor rgb="FF00B0F0"/>
    <pageSetUpPr fitToPage="1"/>
  </sheetPr>
  <dimension ref="A1:J44"/>
  <sheetViews>
    <sheetView view="pageBreakPreview" topLeftCell="A25" zoomScale="70" zoomScaleNormal="100" zoomScaleSheetLayoutView="70" workbookViewId="0">
      <selection activeCell="G25" sqref="G25"/>
    </sheetView>
  </sheetViews>
  <sheetFormatPr defaultRowHeight="16.5"/>
  <cols>
    <col min="1" max="1" width="4.5" customWidth="1"/>
    <col min="2" max="2" width="54.5" customWidth="1"/>
    <col min="3" max="4" width="17.125" customWidth="1"/>
    <col min="5" max="5" width="23.25" customWidth="1"/>
    <col min="6" max="6" width="4.5" customWidth="1"/>
    <col min="7" max="7" width="74.25" customWidth="1"/>
    <col min="8" max="8" width="17.25" customWidth="1"/>
    <col min="9" max="9" width="20.625" style="13" customWidth="1"/>
    <col min="10" max="10" width="35.125" style="13" bestFit="1" customWidth="1"/>
  </cols>
  <sheetData>
    <row r="1" spans="1:10" ht="36.75" customHeight="1"/>
    <row r="2" spans="1:10" ht="21.95" customHeight="1">
      <c r="A2" s="811" t="s">
        <v>14</v>
      </c>
      <c r="B2" s="811"/>
      <c r="C2" s="811"/>
      <c r="D2" s="811"/>
      <c r="E2" s="811"/>
      <c r="F2" s="811"/>
      <c r="G2" s="811"/>
      <c r="H2" s="811"/>
      <c r="I2" s="811"/>
      <c r="J2" s="811"/>
    </row>
    <row r="3" spans="1:10" ht="12" customHeight="1">
      <c r="A3" s="811"/>
      <c r="B3" s="811"/>
      <c r="C3" s="811"/>
      <c r="D3" s="811"/>
      <c r="E3" s="811"/>
      <c r="F3" s="811"/>
      <c r="G3" s="811"/>
      <c r="H3" s="811"/>
      <c r="I3" s="811"/>
      <c r="J3" s="811"/>
    </row>
    <row r="4" spans="1:10" ht="21.75" customHeight="1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ht="18" customHeight="1">
      <c r="A5" s="818" t="s">
        <v>987</v>
      </c>
      <c r="B5" s="818"/>
      <c r="C5" s="818"/>
      <c r="D5" s="818"/>
      <c r="E5" s="818"/>
      <c r="F5" s="818"/>
      <c r="G5" s="818"/>
      <c r="H5" s="818"/>
      <c r="I5" s="818"/>
      <c r="J5" s="701"/>
    </row>
    <row r="6" spans="1:10" ht="18" customHeight="1" thickBot="1">
      <c r="A6" s="818" t="s">
        <v>16</v>
      </c>
      <c r="B6" s="819"/>
      <c r="C6" s="819"/>
      <c r="D6" s="819"/>
      <c r="E6" s="819"/>
      <c r="F6" s="819"/>
      <c r="G6" s="819"/>
      <c r="H6" s="702"/>
      <c r="I6" s="3"/>
      <c r="J6" s="3"/>
    </row>
    <row r="7" spans="1:10" ht="27.75" customHeight="1" thickBot="1">
      <c r="A7" s="843" t="s">
        <v>17</v>
      </c>
      <c r="B7" s="844"/>
      <c r="C7" s="837" t="s">
        <v>18</v>
      </c>
      <c r="D7" s="828"/>
      <c r="E7" s="838"/>
      <c r="F7" s="837" t="s">
        <v>19</v>
      </c>
      <c r="G7" s="838"/>
      <c r="H7" s="828" t="s">
        <v>20</v>
      </c>
      <c r="I7" s="828"/>
      <c r="J7" s="829"/>
    </row>
    <row r="8" spans="1:10" ht="18" customHeight="1" thickTop="1" thickBot="1">
      <c r="A8" s="824">
        <v>79417975.59799999</v>
      </c>
      <c r="B8" s="825"/>
      <c r="C8" s="812">
        <f>C32</f>
        <v>0</v>
      </c>
      <c r="D8" s="813"/>
      <c r="E8" s="814"/>
      <c r="F8" s="839">
        <f>H32</f>
        <v>111688679</v>
      </c>
      <c r="G8" s="840"/>
      <c r="H8" s="830">
        <f>SUM(A8:E9)-F8</f>
        <v>-32270703.40200001</v>
      </c>
      <c r="I8" s="830"/>
      <c r="J8" s="831"/>
    </row>
    <row r="9" spans="1:10" ht="22.5" customHeight="1" thickTop="1" thickBot="1">
      <c r="A9" s="826"/>
      <c r="B9" s="827"/>
      <c r="C9" s="815"/>
      <c r="D9" s="816"/>
      <c r="E9" s="817"/>
      <c r="F9" s="841"/>
      <c r="G9" s="842"/>
      <c r="H9" s="832"/>
      <c r="I9" s="832"/>
      <c r="J9" s="833"/>
    </row>
    <row r="10" spans="1:10" ht="18" customHeight="1">
      <c r="A10" s="701"/>
      <c r="B10" s="702"/>
      <c r="C10" s="702"/>
      <c r="D10" s="702"/>
      <c r="E10" s="702"/>
      <c r="F10" s="702"/>
      <c r="G10" s="702"/>
      <c r="H10" s="702"/>
      <c r="I10" s="23"/>
      <c r="J10" s="23"/>
    </row>
    <row r="11" spans="1:10" ht="32.25" customHeight="1" thickBot="1">
      <c r="A11" s="818" t="s">
        <v>21</v>
      </c>
      <c r="B11" s="819"/>
      <c r="C11" s="819"/>
      <c r="D11" s="819"/>
      <c r="E11" s="819"/>
      <c r="F11" s="819"/>
      <c r="G11" s="819"/>
      <c r="H11" s="702"/>
      <c r="I11" s="3"/>
      <c r="J11" s="3"/>
    </row>
    <row r="12" spans="1:10" ht="39.950000000000003" customHeight="1" thickBot="1">
      <c r="A12" s="861" t="s">
        <v>996</v>
      </c>
      <c r="B12" s="862"/>
      <c r="C12" s="862"/>
      <c r="D12" s="862"/>
      <c r="E12" s="863"/>
      <c r="F12" s="861" t="s">
        <v>997</v>
      </c>
      <c r="G12" s="862"/>
      <c r="H12" s="862"/>
      <c r="I12" s="862"/>
      <c r="J12" s="863"/>
    </row>
    <row r="13" spans="1:10" ht="39.950000000000003" customHeight="1" thickBot="1">
      <c r="A13" s="459" t="s">
        <v>24</v>
      </c>
      <c r="B13" s="460" t="s">
        <v>25</v>
      </c>
      <c r="C13" s="461" t="s">
        <v>108</v>
      </c>
      <c r="D13" s="461" t="s">
        <v>27</v>
      </c>
      <c r="E13" s="704" t="s">
        <v>10</v>
      </c>
      <c r="F13" s="459" t="s">
        <v>24</v>
      </c>
      <c r="G13" s="460" t="s">
        <v>25</v>
      </c>
      <c r="H13" s="461" t="s">
        <v>108</v>
      </c>
      <c r="I13" s="461" t="s">
        <v>655</v>
      </c>
      <c r="J13" s="704" t="s">
        <v>10</v>
      </c>
    </row>
    <row r="14" spans="1:10" ht="39.950000000000003" customHeight="1">
      <c r="A14" s="524"/>
      <c r="B14" s="680"/>
      <c r="C14" s="565"/>
      <c r="D14" s="678"/>
      <c r="E14" s="567"/>
      <c r="F14" s="524">
        <v>1</v>
      </c>
      <c r="G14" s="476" t="s">
        <v>935</v>
      </c>
      <c r="H14" s="536">
        <v>16926392</v>
      </c>
      <c r="I14" s="503">
        <v>44389</v>
      </c>
      <c r="J14" s="477" t="s">
        <v>887</v>
      </c>
    </row>
    <row r="15" spans="1:10" ht="39.950000000000003" customHeight="1">
      <c r="A15" s="529"/>
      <c r="B15" s="679"/>
      <c r="C15" s="473"/>
      <c r="D15" s="673"/>
      <c r="E15" s="475"/>
      <c r="F15" s="529">
        <v>2</v>
      </c>
      <c r="G15" s="500" t="s">
        <v>235</v>
      </c>
      <c r="H15" s="532">
        <v>17322320</v>
      </c>
      <c r="I15" s="675" t="s">
        <v>35</v>
      </c>
      <c r="J15" s="497"/>
    </row>
    <row r="16" spans="1:10" ht="39.950000000000003" customHeight="1">
      <c r="A16" s="529"/>
      <c r="B16" s="679"/>
      <c r="C16" s="473"/>
      <c r="D16" s="674"/>
      <c r="E16" s="475"/>
      <c r="F16" s="529">
        <v>3</v>
      </c>
      <c r="G16" s="500" t="s">
        <v>990</v>
      </c>
      <c r="H16" s="532">
        <f>6285500</f>
        <v>6285500</v>
      </c>
      <c r="I16" s="688" t="s">
        <v>35</v>
      </c>
      <c r="J16" s="477"/>
    </row>
    <row r="17" spans="1:10" ht="39.950000000000003" customHeight="1">
      <c r="A17" s="529"/>
      <c r="B17" s="681"/>
      <c r="C17" s="473"/>
      <c r="D17" s="674"/>
      <c r="E17" s="475"/>
      <c r="F17" s="529">
        <v>4</v>
      </c>
      <c r="G17" s="500" t="s">
        <v>886</v>
      </c>
      <c r="H17" s="532">
        <v>9160397</v>
      </c>
      <c r="I17" s="675" t="s">
        <v>35</v>
      </c>
      <c r="J17" s="497"/>
    </row>
    <row r="18" spans="1:10" ht="39.950000000000003" customHeight="1">
      <c r="A18" s="491"/>
      <c r="B18" s="686"/>
      <c r="C18" s="488"/>
      <c r="D18" s="705"/>
      <c r="E18" s="490"/>
      <c r="F18" s="529">
        <v>5</v>
      </c>
      <c r="G18" s="500" t="s">
        <v>991</v>
      </c>
      <c r="H18" s="532">
        <v>25699940</v>
      </c>
      <c r="I18" s="688" t="s">
        <v>35</v>
      </c>
      <c r="J18" s="497"/>
    </row>
    <row r="19" spans="1:10" ht="39.950000000000003" customHeight="1">
      <c r="A19" s="529"/>
      <c r="B19" s="681"/>
      <c r="C19" s="473"/>
      <c r="D19" s="674"/>
      <c r="E19" s="475"/>
      <c r="F19" s="529">
        <v>6</v>
      </c>
      <c r="G19" s="500" t="s">
        <v>930</v>
      </c>
      <c r="H19" s="532">
        <v>26710020</v>
      </c>
      <c r="I19" s="675" t="s">
        <v>35</v>
      </c>
      <c r="J19" s="497"/>
    </row>
    <row r="20" spans="1:10" ht="39.950000000000003" customHeight="1">
      <c r="A20" s="529"/>
      <c r="B20" s="472"/>
      <c r="C20" s="473"/>
      <c r="D20" s="672"/>
      <c r="E20" s="475"/>
      <c r="F20" s="529">
        <v>7</v>
      </c>
      <c r="G20" s="500" t="s">
        <v>931</v>
      </c>
      <c r="H20" s="532">
        <v>6213670</v>
      </c>
      <c r="I20" s="675" t="s">
        <v>35</v>
      </c>
      <c r="J20" s="497"/>
    </row>
    <row r="21" spans="1:10" ht="39.950000000000003" customHeight="1">
      <c r="A21" s="529"/>
      <c r="B21" s="472"/>
      <c r="C21" s="473"/>
      <c r="D21" s="672"/>
      <c r="E21" s="475"/>
      <c r="F21" s="529">
        <v>8</v>
      </c>
      <c r="G21" s="500" t="s">
        <v>932</v>
      </c>
      <c r="H21" s="532">
        <v>2159440</v>
      </c>
      <c r="I21" s="675" t="s">
        <v>35</v>
      </c>
      <c r="J21" s="477"/>
    </row>
    <row r="22" spans="1:10" ht="39.950000000000003" customHeight="1">
      <c r="A22" s="529"/>
      <c r="B22" s="472"/>
      <c r="C22" s="473"/>
      <c r="D22" s="672"/>
      <c r="E22" s="475"/>
      <c r="F22" s="529">
        <v>9</v>
      </c>
      <c r="G22" s="500" t="s">
        <v>992</v>
      </c>
      <c r="H22" s="532">
        <v>500000</v>
      </c>
      <c r="I22" s="503">
        <v>44391</v>
      </c>
      <c r="J22" s="477"/>
    </row>
    <row r="23" spans="1:10" ht="39.950000000000003" customHeight="1">
      <c r="A23" s="529"/>
      <c r="B23" s="472"/>
      <c r="C23" s="473"/>
      <c r="D23" s="672"/>
      <c r="E23" s="475"/>
      <c r="F23" s="529">
        <v>10</v>
      </c>
      <c r="G23" s="500" t="s">
        <v>993</v>
      </c>
      <c r="H23" s="532">
        <v>500000</v>
      </c>
      <c r="I23" s="675" t="s">
        <v>35</v>
      </c>
      <c r="J23" s="497"/>
    </row>
    <row r="24" spans="1:10" ht="39.950000000000003" customHeight="1">
      <c r="A24" s="529"/>
      <c r="B24" s="472"/>
      <c r="C24" s="473"/>
      <c r="D24" s="673"/>
      <c r="E24" s="475"/>
      <c r="F24" s="529">
        <v>11</v>
      </c>
      <c r="G24" s="533" t="s">
        <v>994</v>
      </c>
      <c r="H24" s="532">
        <v>200000</v>
      </c>
      <c r="I24" s="675" t="s">
        <v>35</v>
      </c>
      <c r="J24" s="477"/>
    </row>
    <row r="25" spans="1:10" ht="39.950000000000003" customHeight="1">
      <c r="A25" s="529"/>
      <c r="B25" s="472"/>
      <c r="C25" s="473"/>
      <c r="D25" s="673"/>
      <c r="E25" s="475"/>
      <c r="F25" s="535">
        <v>12</v>
      </c>
      <c r="G25" s="710" t="s">
        <v>995</v>
      </c>
      <c r="H25" s="538">
        <f>11000</f>
        <v>11000</v>
      </c>
      <c r="I25" s="508">
        <v>44392</v>
      </c>
      <c r="J25" s="509"/>
    </row>
    <row r="26" spans="1:10" ht="39.950000000000003" customHeight="1">
      <c r="A26" s="529"/>
      <c r="B26" s="472"/>
      <c r="C26" s="473"/>
      <c r="D26" s="499"/>
      <c r="E26" s="475"/>
      <c r="F26" s="491">
        <v>13</v>
      </c>
      <c r="G26" s="534" t="s">
        <v>1001</v>
      </c>
      <c r="H26" s="536">
        <f>44550+11500</f>
        <v>56050</v>
      </c>
      <c r="I26" s="503">
        <v>44389</v>
      </c>
      <c r="J26" s="497" t="s">
        <v>966</v>
      </c>
    </row>
    <row r="27" spans="1:10" ht="39.950000000000003" customHeight="1">
      <c r="A27" s="529"/>
      <c r="B27" s="472"/>
      <c r="C27" s="473"/>
      <c r="D27" s="499"/>
      <c r="E27" s="475"/>
      <c r="F27" s="529">
        <v>14</v>
      </c>
      <c r="G27" s="534" t="s">
        <v>1002</v>
      </c>
      <c r="H27" s="536">
        <f>22000</f>
        <v>22000</v>
      </c>
      <c r="I27" s="576">
        <v>44390</v>
      </c>
      <c r="J27" s="510" t="s">
        <v>35</v>
      </c>
    </row>
    <row r="28" spans="1:10" ht="39.950000000000003" customHeight="1">
      <c r="A28" s="529"/>
      <c r="B28" s="472"/>
      <c r="C28" s="473"/>
      <c r="D28" s="499"/>
      <c r="E28" s="475"/>
      <c r="F28" s="529">
        <v>15</v>
      </c>
      <c r="G28" s="534" t="s">
        <v>1004</v>
      </c>
      <c r="H28" s="532">
        <f>16500</f>
        <v>16500</v>
      </c>
      <c r="I28" s="675" t="s">
        <v>1003</v>
      </c>
      <c r="J28" s="511" t="s">
        <v>35</v>
      </c>
    </row>
    <row r="29" spans="1:10" ht="39.950000000000003" customHeight="1">
      <c r="A29" s="529"/>
      <c r="B29" s="472"/>
      <c r="C29" s="473"/>
      <c r="D29" s="499"/>
      <c r="E29" s="475"/>
      <c r="F29" s="529">
        <v>16</v>
      </c>
      <c r="G29" s="500" t="s">
        <v>1005</v>
      </c>
      <c r="H29" s="532">
        <f>20350</f>
        <v>20350</v>
      </c>
      <c r="I29" s="675" t="s">
        <v>1003</v>
      </c>
      <c r="J29" s="511" t="s">
        <v>35</v>
      </c>
    </row>
    <row r="30" spans="1:10" ht="39.950000000000003" customHeight="1">
      <c r="A30" s="529"/>
      <c r="B30" s="472"/>
      <c r="C30" s="473"/>
      <c r="D30" s="499"/>
      <c r="E30" s="475"/>
      <c r="F30" s="529">
        <v>17</v>
      </c>
      <c r="G30" s="500" t="s">
        <v>1006</v>
      </c>
      <c r="H30" s="532">
        <f>12600</f>
        <v>12600</v>
      </c>
      <c r="I30" s="576">
        <v>44391</v>
      </c>
      <c r="J30" s="511" t="s">
        <v>35</v>
      </c>
    </row>
    <row r="31" spans="1:10" ht="39.950000000000003" customHeight="1" thickBot="1">
      <c r="A31" s="529"/>
      <c r="B31" s="472"/>
      <c r="C31" s="473"/>
      <c r="D31" s="499"/>
      <c r="E31" s="475"/>
      <c r="F31" s="529">
        <v>18</v>
      </c>
      <c r="G31" s="500" t="s">
        <v>1007</v>
      </c>
      <c r="H31" s="532">
        <f>3810</f>
        <v>3810</v>
      </c>
      <c r="I31" s="576">
        <v>44393</v>
      </c>
      <c r="J31" s="511" t="s">
        <v>35</v>
      </c>
    </row>
    <row r="32" spans="1:10" ht="39.950000000000003" customHeight="1" thickBot="1">
      <c r="A32" s="513"/>
      <c r="B32" s="514" t="s">
        <v>72</v>
      </c>
      <c r="C32" s="515">
        <f>SUM(C14:C31)</f>
        <v>0</v>
      </c>
      <c r="D32" s="516"/>
      <c r="E32" s="517"/>
      <c r="F32" s="518"/>
      <c r="G32" s="514" t="s">
        <v>72</v>
      </c>
      <c r="H32" s="519">
        <f>SUM(H14:H25)</f>
        <v>111688679</v>
      </c>
      <c r="I32" s="520" t="s">
        <v>73</v>
      </c>
      <c r="J32" s="521"/>
    </row>
    <row r="33" spans="1:10" ht="39.950000000000003" customHeight="1" thickBot="1">
      <c r="A33" s="856" t="s">
        <v>74</v>
      </c>
      <c r="B33" s="857"/>
      <c r="C33" s="857"/>
      <c r="D33" s="857"/>
      <c r="E33" s="857"/>
      <c r="F33" s="857"/>
      <c r="G33" s="857"/>
      <c r="H33" s="703"/>
      <c r="I33" s="522"/>
      <c r="J33" s="522"/>
    </row>
    <row r="34" spans="1:10" ht="39.950000000000003" customHeight="1" thickBot="1">
      <c r="A34" s="858" t="s">
        <v>998</v>
      </c>
      <c r="B34" s="859"/>
      <c r="C34" s="859"/>
      <c r="D34" s="859"/>
      <c r="E34" s="860"/>
      <c r="F34" s="858" t="s">
        <v>999</v>
      </c>
      <c r="G34" s="859"/>
      <c r="H34" s="859"/>
      <c r="I34" s="859"/>
      <c r="J34" s="860"/>
    </row>
    <row r="35" spans="1:10" ht="39.950000000000003" customHeight="1" thickBot="1">
      <c r="A35" s="459" t="s">
        <v>24</v>
      </c>
      <c r="B35" s="460" t="s">
        <v>25</v>
      </c>
      <c r="C35" s="461" t="s">
        <v>108</v>
      </c>
      <c r="D35" s="461" t="s">
        <v>27</v>
      </c>
      <c r="E35" s="704" t="s">
        <v>10</v>
      </c>
      <c r="F35" s="523" t="s">
        <v>24</v>
      </c>
      <c r="G35" s="460" t="s">
        <v>25</v>
      </c>
      <c r="H35" s="461" t="s">
        <v>108</v>
      </c>
      <c r="I35" s="461" t="s">
        <v>655</v>
      </c>
      <c r="J35" s="704" t="s">
        <v>10</v>
      </c>
    </row>
    <row r="36" spans="1:10" ht="39.950000000000003" customHeight="1">
      <c r="A36" s="524">
        <v>1</v>
      </c>
      <c r="B36" s="472" t="s">
        <v>1008</v>
      </c>
      <c r="C36" s="565">
        <f>1600000*1.1</f>
        <v>1760000.0000000002</v>
      </c>
      <c r="D36" s="678" t="s">
        <v>988</v>
      </c>
      <c r="E36" s="567"/>
      <c r="F36" s="524">
        <v>1</v>
      </c>
      <c r="G36" s="534" t="s">
        <v>1012</v>
      </c>
      <c r="H36" s="561">
        <v>107421</v>
      </c>
      <c r="I36" s="562">
        <v>44398</v>
      </c>
      <c r="J36" s="477"/>
    </row>
    <row r="37" spans="1:10" ht="39.950000000000003" customHeight="1">
      <c r="A37" s="491"/>
      <c r="B37" s="686"/>
      <c r="C37" s="488"/>
      <c r="D37" s="687"/>
      <c r="E37" s="490"/>
      <c r="F37" s="529">
        <v>2</v>
      </c>
      <c r="G37" s="500" t="s">
        <v>1000</v>
      </c>
      <c r="H37" s="530">
        <v>132000</v>
      </c>
      <c r="I37" s="553" t="s">
        <v>35</v>
      </c>
      <c r="J37" s="497"/>
    </row>
    <row r="38" spans="1:10" ht="39.950000000000003" customHeight="1">
      <c r="A38" s="529"/>
      <c r="B38" s="679"/>
      <c r="C38" s="473"/>
      <c r="D38" s="674"/>
      <c r="E38" s="475"/>
      <c r="F38" s="529">
        <v>3</v>
      </c>
      <c r="G38" s="500" t="s">
        <v>330</v>
      </c>
      <c r="H38" s="711">
        <v>502794</v>
      </c>
      <c r="I38" s="553" t="s">
        <v>35</v>
      </c>
      <c r="J38" s="477"/>
    </row>
    <row r="39" spans="1:10" ht="39.950000000000003" customHeight="1">
      <c r="A39" s="529"/>
      <c r="B39" s="679"/>
      <c r="C39" s="473"/>
      <c r="D39" s="674"/>
      <c r="E39" s="475"/>
      <c r="F39" s="529">
        <v>4</v>
      </c>
      <c r="G39" s="500" t="s">
        <v>806</v>
      </c>
      <c r="H39" s="532">
        <f>376970</f>
        <v>376970</v>
      </c>
      <c r="I39" s="503">
        <v>44399</v>
      </c>
      <c r="J39" s="497"/>
    </row>
    <row r="40" spans="1:10" ht="39.950000000000003" customHeight="1">
      <c r="A40" s="529"/>
      <c r="B40" s="681"/>
      <c r="C40" s="468"/>
      <c r="D40" s="674"/>
      <c r="E40" s="475"/>
      <c r="F40" s="529">
        <v>5</v>
      </c>
      <c r="G40" s="500" t="s">
        <v>1009</v>
      </c>
      <c r="H40" s="501">
        <f>6095406</f>
        <v>6095406</v>
      </c>
      <c r="I40" s="503">
        <v>44400</v>
      </c>
      <c r="J40" s="497"/>
    </row>
    <row r="41" spans="1:10" ht="39.950000000000003" customHeight="1">
      <c r="A41" s="529"/>
      <c r="B41" s="681"/>
      <c r="C41" s="468"/>
      <c r="D41" s="671"/>
      <c r="E41" s="475"/>
      <c r="F41" s="529">
        <v>6</v>
      </c>
      <c r="G41" s="500" t="s">
        <v>811</v>
      </c>
      <c r="H41" s="501">
        <f>904400</f>
        <v>904400</v>
      </c>
      <c r="I41" s="531" t="s">
        <v>37</v>
      </c>
      <c r="J41" s="497"/>
    </row>
    <row r="42" spans="1:10" ht="39.950000000000003" customHeight="1">
      <c r="A42" s="529"/>
      <c r="B42" s="681"/>
      <c r="C42" s="468"/>
      <c r="D42" s="674"/>
      <c r="E42" s="475"/>
      <c r="F42" s="529">
        <v>7</v>
      </c>
      <c r="G42" s="500" t="s">
        <v>1010</v>
      </c>
      <c r="H42" s="501">
        <f>111500</f>
        <v>111500</v>
      </c>
      <c r="I42" s="531" t="s">
        <v>37</v>
      </c>
      <c r="J42" s="497"/>
    </row>
    <row r="43" spans="1:10" ht="39.950000000000003" customHeight="1" thickBot="1">
      <c r="A43" s="529"/>
      <c r="B43" s="681"/>
      <c r="C43" s="468"/>
      <c r="D43" s="671"/>
      <c r="E43" s="475"/>
      <c r="F43" s="529">
        <v>8</v>
      </c>
      <c r="G43" s="500" t="s">
        <v>813</v>
      </c>
      <c r="H43" s="501">
        <f>1098500</f>
        <v>1098500</v>
      </c>
      <c r="I43" s="503" t="s">
        <v>37</v>
      </c>
      <c r="J43" s="497"/>
    </row>
    <row r="44" spans="1:10" ht="39.75" customHeight="1" thickBot="1">
      <c r="A44" s="513"/>
      <c r="B44" s="514" t="s">
        <v>72</v>
      </c>
      <c r="C44" s="519">
        <f>SUM(C38:C43)</f>
        <v>0</v>
      </c>
      <c r="D44" s="516"/>
      <c r="E44" s="517"/>
      <c r="F44" s="513"/>
      <c r="G44" s="514" t="s">
        <v>72</v>
      </c>
      <c r="H44" s="519">
        <f>SUM(H36:H43)</f>
        <v>9328991</v>
      </c>
      <c r="I44" s="544"/>
      <c r="J44" s="517"/>
    </row>
  </sheetData>
  <mergeCells count="17">
    <mergeCell ref="A33:G33"/>
    <mergeCell ref="A34:E34"/>
    <mergeCell ref="F34:J34"/>
    <mergeCell ref="A8:B9"/>
    <mergeCell ref="C8:E9"/>
    <mergeCell ref="F8:G9"/>
    <mergeCell ref="H8:J9"/>
    <mergeCell ref="A11:G11"/>
    <mergeCell ref="A12:E12"/>
    <mergeCell ref="F12:J12"/>
    <mergeCell ref="A2:J3"/>
    <mergeCell ref="A5:I5"/>
    <mergeCell ref="A6:G6"/>
    <mergeCell ref="A7:B7"/>
    <mergeCell ref="C7:E7"/>
    <mergeCell ref="F7:G7"/>
    <mergeCell ref="H7:J7"/>
  </mergeCells>
  <phoneticPr fontId="2" type="noConversion"/>
  <printOptions horizontalCentered="1"/>
  <pageMargins left="0" right="0" top="0" bottom="0" header="0" footer="0"/>
  <pageSetup paperSize="9" scale="38" orientation="portrait" r:id="rId1"/>
  <rowBreaks count="1" manualBreakCount="1">
    <brk id="32" min="5" max="10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6682C-CDAE-4CBC-B813-B7BC5CDBFF5F}">
  <sheetPr>
    <tabColor rgb="FF00B0F0"/>
  </sheetPr>
  <dimension ref="A1:J84"/>
  <sheetViews>
    <sheetView view="pageBreakPreview" topLeftCell="A37" zoomScale="70" zoomScaleNormal="100" zoomScaleSheetLayoutView="70" workbookViewId="0">
      <selection activeCell="G41" sqref="G41"/>
    </sheetView>
  </sheetViews>
  <sheetFormatPr defaultRowHeight="16.5"/>
  <cols>
    <col min="1" max="1" width="6.75" bestFit="1" customWidth="1"/>
    <col min="2" max="2" width="65" bestFit="1" customWidth="1"/>
    <col min="3" max="3" width="22.625" bestFit="1" customWidth="1"/>
    <col min="4" max="4" width="17.125" customWidth="1"/>
    <col min="5" max="5" width="23.25" customWidth="1"/>
    <col min="6" max="6" width="6.75" bestFit="1" customWidth="1"/>
    <col min="7" max="7" width="74.25" customWidth="1"/>
    <col min="8" max="8" width="22.625" bestFit="1" customWidth="1"/>
    <col min="9" max="9" width="27.25" style="13" bestFit="1" customWidth="1"/>
    <col min="10" max="10" width="44.25" style="13" customWidth="1"/>
  </cols>
  <sheetData>
    <row r="1" spans="1:10" ht="36.75" customHeight="1"/>
    <row r="2" spans="1:10" ht="21.95" customHeight="1">
      <c r="A2" s="811" t="s">
        <v>14</v>
      </c>
      <c r="B2" s="811"/>
      <c r="C2" s="811"/>
      <c r="D2" s="811"/>
      <c r="E2" s="811"/>
      <c r="F2" s="811"/>
      <c r="G2" s="811"/>
      <c r="H2" s="811"/>
      <c r="I2" s="811"/>
      <c r="J2" s="811"/>
    </row>
    <row r="3" spans="1:10" ht="12" customHeight="1">
      <c r="A3" s="811"/>
      <c r="B3" s="811"/>
      <c r="C3" s="811"/>
      <c r="D3" s="811"/>
      <c r="E3" s="811"/>
      <c r="F3" s="811"/>
      <c r="G3" s="811"/>
      <c r="H3" s="811"/>
      <c r="I3" s="811"/>
      <c r="J3" s="811"/>
    </row>
    <row r="4" spans="1:10" ht="21.75" customHeight="1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ht="18" customHeight="1">
      <c r="A5" s="818" t="s">
        <v>1013</v>
      </c>
      <c r="B5" s="818"/>
      <c r="C5" s="818"/>
      <c r="D5" s="818"/>
      <c r="E5" s="818"/>
      <c r="F5" s="818"/>
      <c r="G5" s="818"/>
      <c r="H5" s="818"/>
      <c r="I5" s="818"/>
      <c r="J5" s="713"/>
    </row>
    <row r="6" spans="1:10" ht="18" customHeight="1" thickBot="1">
      <c r="A6" s="818" t="s">
        <v>16</v>
      </c>
      <c r="B6" s="819"/>
      <c r="C6" s="819"/>
      <c r="D6" s="819"/>
      <c r="E6" s="819"/>
      <c r="F6" s="819"/>
      <c r="G6" s="819"/>
      <c r="H6" s="714"/>
      <c r="I6" s="3"/>
      <c r="J6" s="3"/>
    </row>
    <row r="7" spans="1:10" ht="27.75" customHeight="1" thickBot="1">
      <c r="A7" s="843" t="s">
        <v>17</v>
      </c>
      <c r="B7" s="844"/>
      <c r="C7" s="837" t="s">
        <v>18</v>
      </c>
      <c r="D7" s="828"/>
      <c r="E7" s="838"/>
      <c r="F7" s="837" t="s">
        <v>19</v>
      </c>
      <c r="G7" s="838"/>
      <c r="H7" s="828" t="s">
        <v>20</v>
      </c>
      <c r="I7" s="828"/>
      <c r="J7" s="829"/>
    </row>
    <row r="8" spans="1:10" ht="18" customHeight="1" thickTop="1" thickBot="1">
      <c r="A8" s="824">
        <v>-32270703.40200001</v>
      </c>
      <c r="B8" s="825"/>
      <c r="C8" s="812">
        <f>C36</f>
        <v>68776057</v>
      </c>
      <c r="D8" s="813"/>
      <c r="E8" s="814"/>
      <c r="F8" s="839">
        <f>H36</f>
        <v>43925974</v>
      </c>
      <c r="G8" s="840"/>
      <c r="H8" s="830">
        <f>SUM(A8:E9)-F8</f>
        <v>-7420620.40200001</v>
      </c>
      <c r="I8" s="830"/>
      <c r="J8" s="831"/>
    </row>
    <row r="9" spans="1:10" ht="22.5" customHeight="1" thickTop="1" thickBot="1">
      <c r="A9" s="826"/>
      <c r="B9" s="827"/>
      <c r="C9" s="815"/>
      <c r="D9" s="816"/>
      <c r="E9" s="817"/>
      <c r="F9" s="841"/>
      <c r="G9" s="842"/>
      <c r="H9" s="832"/>
      <c r="I9" s="832"/>
      <c r="J9" s="833"/>
    </row>
    <row r="10" spans="1:10" ht="18" customHeight="1">
      <c r="A10" s="713"/>
      <c r="B10" s="714"/>
      <c r="C10" s="714"/>
      <c r="D10" s="714"/>
      <c r="E10" s="714"/>
      <c r="F10" s="714"/>
      <c r="G10" s="714"/>
      <c r="H10" s="714"/>
      <c r="I10" s="23"/>
      <c r="J10" s="23"/>
    </row>
    <row r="11" spans="1:10" ht="32.25" customHeight="1" thickBot="1">
      <c r="A11" s="818" t="s">
        <v>21</v>
      </c>
      <c r="B11" s="819"/>
      <c r="C11" s="819"/>
      <c r="D11" s="819"/>
      <c r="E11" s="819"/>
      <c r="F11" s="819"/>
      <c r="G11" s="819"/>
      <c r="H11" s="714"/>
      <c r="I11" s="3"/>
      <c r="J11" s="3"/>
    </row>
    <row r="12" spans="1:10" ht="39.950000000000003" customHeight="1" thickBot="1">
      <c r="A12" s="858" t="s">
        <v>1014</v>
      </c>
      <c r="B12" s="859"/>
      <c r="C12" s="859"/>
      <c r="D12" s="859"/>
      <c r="E12" s="860"/>
      <c r="F12" s="858" t="s">
        <v>1015</v>
      </c>
      <c r="G12" s="859"/>
      <c r="H12" s="859"/>
      <c r="I12" s="859"/>
      <c r="J12" s="860"/>
    </row>
    <row r="13" spans="1:10" ht="39.950000000000003" customHeight="1" thickBot="1">
      <c r="A13" s="459" t="s">
        <v>24</v>
      </c>
      <c r="B13" s="460" t="s">
        <v>25</v>
      </c>
      <c r="C13" s="461" t="s">
        <v>108</v>
      </c>
      <c r="D13" s="461" t="s">
        <v>27</v>
      </c>
      <c r="E13" s="732" t="s">
        <v>10</v>
      </c>
      <c r="F13" s="459" t="s">
        <v>24</v>
      </c>
      <c r="G13" s="460" t="s">
        <v>25</v>
      </c>
      <c r="H13" s="461" t="s">
        <v>108</v>
      </c>
      <c r="I13" s="461" t="s">
        <v>655</v>
      </c>
      <c r="J13" s="732" t="s">
        <v>10</v>
      </c>
    </row>
    <row r="14" spans="1:10" ht="39.950000000000003" customHeight="1">
      <c r="A14" s="491">
        <v>1</v>
      </c>
      <c r="B14" s="487" t="s">
        <v>1008</v>
      </c>
      <c r="C14" s="488">
        <f>1600000*1.1</f>
        <v>1760000.0000000002</v>
      </c>
      <c r="D14" s="687" t="s">
        <v>1054</v>
      </c>
      <c r="E14" s="567" t="s">
        <v>1051</v>
      </c>
      <c r="F14" s="524">
        <v>1</v>
      </c>
      <c r="G14" s="525" t="s">
        <v>330</v>
      </c>
      <c r="H14" s="526">
        <v>499177</v>
      </c>
      <c r="I14" s="527">
        <v>44397</v>
      </c>
      <c r="J14" s="555" t="s">
        <v>890</v>
      </c>
    </row>
    <row r="15" spans="1:10" ht="39.950000000000003" customHeight="1">
      <c r="A15" s="491">
        <v>2</v>
      </c>
      <c r="B15" s="487" t="s">
        <v>1055</v>
      </c>
      <c r="C15" s="488">
        <v>3003000</v>
      </c>
      <c r="D15" s="687" t="s">
        <v>35</v>
      </c>
      <c r="E15" s="490"/>
      <c r="F15" s="529">
        <v>2</v>
      </c>
      <c r="G15" s="500" t="s">
        <v>1012</v>
      </c>
      <c r="H15" s="530">
        <v>107421</v>
      </c>
      <c r="I15" s="503">
        <v>44398</v>
      </c>
      <c r="J15" s="477"/>
    </row>
    <row r="16" spans="1:10" ht="39.950000000000003" customHeight="1">
      <c r="A16" s="529">
        <v>3</v>
      </c>
      <c r="B16" s="679" t="s">
        <v>1033</v>
      </c>
      <c r="C16" s="473">
        <v>12023000</v>
      </c>
      <c r="D16" s="673" t="s">
        <v>35</v>
      </c>
      <c r="E16" s="475"/>
      <c r="F16" s="529">
        <v>3</v>
      </c>
      <c r="G16" s="500" t="s">
        <v>1032</v>
      </c>
      <c r="H16" s="530">
        <v>264000</v>
      </c>
      <c r="I16" s="531" t="s">
        <v>35</v>
      </c>
      <c r="J16" s="477"/>
    </row>
    <row r="17" spans="1:10" ht="39.950000000000003" customHeight="1">
      <c r="A17" s="535">
        <v>4</v>
      </c>
      <c r="B17" s="480" t="s">
        <v>1020</v>
      </c>
      <c r="C17" s="481">
        <v>31900000</v>
      </c>
      <c r="D17" s="718" t="s">
        <v>1048</v>
      </c>
      <c r="E17" s="483"/>
      <c r="F17" s="529">
        <v>4</v>
      </c>
      <c r="G17" s="500" t="s">
        <v>806</v>
      </c>
      <c r="H17" s="532">
        <f>376970</f>
        <v>376970</v>
      </c>
      <c r="I17" s="503">
        <v>44399</v>
      </c>
      <c r="J17" s="477"/>
    </row>
    <row r="18" spans="1:10" ht="39.950000000000003" customHeight="1">
      <c r="A18" s="733">
        <v>5</v>
      </c>
      <c r="B18" s="586" t="s">
        <v>1021</v>
      </c>
      <c r="C18" s="736">
        <v>13785057</v>
      </c>
      <c r="D18" s="734" t="s">
        <v>1050</v>
      </c>
      <c r="E18" s="735" t="s">
        <v>824</v>
      </c>
      <c r="F18" s="529">
        <v>5</v>
      </c>
      <c r="G18" s="500" t="s">
        <v>1009</v>
      </c>
      <c r="H18" s="501">
        <f>6095406</f>
        <v>6095406</v>
      </c>
      <c r="I18" s="503">
        <v>44400</v>
      </c>
      <c r="J18" s="477"/>
    </row>
    <row r="19" spans="1:10" ht="39.950000000000003" customHeight="1">
      <c r="A19" s="579">
        <v>6</v>
      </c>
      <c r="B19" s="720" t="s">
        <v>1057</v>
      </c>
      <c r="C19" s="721">
        <f>6305000</f>
        <v>6305000</v>
      </c>
      <c r="D19" s="722" t="s">
        <v>1056</v>
      </c>
      <c r="E19" s="723" t="s">
        <v>52</v>
      </c>
      <c r="F19" s="529">
        <v>6</v>
      </c>
      <c r="G19" s="500" t="s">
        <v>811</v>
      </c>
      <c r="H19" s="501">
        <f>904400</f>
        <v>904400</v>
      </c>
      <c r="I19" s="531" t="s">
        <v>37</v>
      </c>
      <c r="J19" s="477"/>
    </row>
    <row r="20" spans="1:10" ht="39.950000000000003" customHeight="1">
      <c r="A20" s="491"/>
      <c r="B20" s="487"/>
      <c r="C20" s="488"/>
      <c r="D20" s="492"/>
      <c r="E20" s="490"/>
      <c r="F20" s="529">
        <v>7</v>
      </c>
      <c r="G20" s="500" t="s">
        <v>1010</v>
      </c>
      <c r="H20" s="501">
        <f>111500</f>
        <v>111500</v>
      </c>
      <c r="I20" s="531" t="s">
        <v>37</v>
      </c>
      <c r="J20" s="477"/>
    </row>
    <row r="21" spans="1:10" ht="39.950000000000003" customHeight="1">
      <c r="A21" s="491"/>
      <c r="B21" s="487"/>
      <c r="C21" s="488"/>
      <c r="D21" s="717"/>
      <c r="E21" s="490"/>
      <c r="F21" s="529">
        <v>8</v>
      </c>
      <c r="G21" s="500" t="s">
        <v>813</v>
      </c>
      <c r="H21" s="501">
        <f>1098500</f>
        <v>1098500</v>
      </c>
      <c r="I21" s="531" t="s">
        <v>37</v>
      </c>
      <c r="J21" s="477"/>
    </row>
    <row r="22" spans="1:10" ht="39.950000000000003" customHeight="1">
      <c r="A22" s="529"/>
      <c r="B22" s="472"/>
      <c r="C22" s="473"/>
      <c r="D22" s="672"/>
      <c r="E22" s="475"/>
      <c r="F22" s="529">
        <v>9</v>
      </c>
      <c r="G22" s="500" t="s">
        <v>1049</v>
      </c>
      <c r="H22" s="501">
        <v>11000</v>
      </c>
      <c r="I22" s="503" t="s">
        <v>37</v>
      </c>
      <c r="J22" s="477"/>
    </row>
    <row r="23" spans="1:10" ht="39.950000000000003" customHeight="1">
      <c r="A23" s="529"/>
      <c r="B23" s="472"/>
      <c r="C23" s="473"/>
      <c r="D23" s="672"/>
      <c r="E23" s="475"/>
      <c r="F23" s="529">
        <v>10</v>
      </c>
      <c r="G23" s="500" t="s">
        <v>1018</v>
      </c>
      <c r="H23" s="501">
        <v>30931690</v>
      </c>
      <c r="I23" s="503" t="s">
        <v>37</v>
      </c>
      <c r="J23" s="477"/>
    </row>
    <row r="24" spans="1:10" ht="39.950000000000003" customHeight="1">
      <c r="A24" s="529"/>
      <c r="B24" s="472"/>
      <c r="C24" s="473"/>
      <c r="D24" s="673"/>
      <c r="E24" s="475"/>
      <c r="F24" s="540">
        <v>11</v>
      </c>
      <c r="G24" s="737" t="s">
        <v>1052</v>
      </c>
      <c r="H24" s="552">
        <v>3305910</v>
      </c>
      <c r="I24" s="607" t="s">
        <v>37</v>
      </c>
      <c r="J24" s="554"/>
    </row>
    <row r="25" spans="1:10" ht="39.950000000000003" customHeight="1">
      <c r="A25" s="529"/>
      <c r="B25" s="472"/>
      <c r="C25" s="473"/>
      <c r="D25" s="673"/>
      <c r="E25" s="475"/>
      <c r="F25" s="535">
        <v>12</v>
      </c>
      <c r="G25" s="506" t="s">
        <v>1043</v>
      </c>
      <c r="H25" s="596">
        <v>220000</v>
      </c>
      <c r="I25" s="508" t="s">
        <v>1083</v>
      </c>
      <c r="J25" s="509"/>
    </row>
    <row r="26" spans="1:10" ht="39.950000000000003" customHeight="1">
      <c r="A26" s="529"/>
      <c r="B26" s="472"/>
      <c r="C26" s="473"/>
      <c r="D26" s="673"/>
      <c r="E26" s="475"/>
      <c r="F26" s="491">
        <v>13</v>
      </c>
      <c r="G26" s="724" t="s">
        <v>1062</v>
      </c>
      <c r="H26" s="536">
        <f>27500</f>
        <v>27500</v>
      </c>
      <c r="I26" s="576">
        <v>44396</v>
      </c>
      <c r="J26" s="497" t="s">
        <v>966</v>
      </c>
    </row>
    <row r="27" spans="1:10" ht="39.950000000000003" customHeight="1">
      <c r="A27" s="529"/>
      <c r="B27" s="472"/>
      <c r="C27" s="473"/>
      <c r="D27" s="499"/>
      <c r="E27" s="475"/>
      <c r="F27" s="529">
        <v>14</v>
      </c>
      <c r="G27" s="724" t="s">
        <v>1063</v>
      </c>
      <c r="H27" s="536">
        <f>33000</f>
        <v>33000</v>
      </c>
      <c r="I27" s="576" t="s">
        <v>1050</v>
      </c>
      <c r="J27" s="497"/>
    </row>
    <row r="28" spans="1:10" ht="39.950000000000003" customHeight="1">
      <c r="A28" s="529"/>
      <c r="B28" s="472"/>
      <c r="C28" s="473"/>
      <c r="D28" s="499"/>
      <c r="E28" s="475"/>
      <c r="F28" s="529">
        <v>15</v>
      </c>
      <c r="G28" s="534" t="s">
        <v>1069</v>
      </c>
      <c r="H28" s="536">
        <f>21850</f>
        <v>21850</v>
      </c>
      <c r="I28" s="576">
        <v>44397</v>
      </c>
      <c r="J28" s="497"/>
    </row>
    <row r="29" spans="1:10" ht="39.950000000000003" customHeight="1">
      <c r="A29" s="529"/>
      <c r="B29" s="472"/>
      <c r="C29" s="473"/>
      <c r="D29" s="499"/>
      <c r="E29" s="475"/>
      <c r="F29" s="529">
        <v>16</v>
      </c>
      <c r="G29" s="534" t="s">
        <v>1064</v>
      </c>
      <c r="H29" s="536">
        <f>21850</f>
        <v>21850</v>
      </c>
      <c r="I29" s="675" t="s">
        <v>1050</v>
      </c>
      <c r="J29" s="477"/>
    </row>
    <row r="30" spans="1:10" ht="39.950000000000003" customHeight="1">
      <c r="A30" s="529"/>
      <c r="B30" s="472"/>
      <c r="C30" s="473"/>
      <c r="D30" s="499"/>
      <c r="E30" s="475"/>
      <c r="F30" s="529">
        <v>17</v>
      </c>
      <c r="G30" s="500" t="s">
        <v>1065</v>
      </c>
      <c r="H30" s="532">
        <v>33379</v>
      </c>
      <c r="I30" s="576">
        <v>44398</v>
      </c>
      <c r="J30" s="477"/>
    </row>
    <row r="31" spans="1:10" ht="39.950000000000003" customHeight="1">
      <c r="A31" s="529"/>
      <c r="B31" s="472"/>
      <c r="C31" s="473"/>
      <c r="D31" s="499"/>
      <c r="E31" s="475"/>
      <c r="F31" s="529">
        <v>18</v>
      </c>
      <c r="G31" s="500" t="s">
        <v>1066</v>
      </c>
      <c r="H31" s="532">
        <f>3220000</f>
        <v>3220000</v>
      </c>
      <c r="I31" s="576" t="s">
        <v>1050</v>
      </c>
      <c r="J31" s="477"/>
    </row>
    <row r="32" spans="1:10" ht="39.950000000000003" customHeight="1">
      <c r="A32" s="529"/>
      <c r="B32" s="472"/>
      <c r="C32" s="473"/>
      <c r="D32" s="499"/>
      <c r="E32" s="475"/>
      <c r="F32" s="529">
        <v>19</v>
      </c>
      <c r="G32" s="500" t="s">
        <v>1067</v>
      </c>
      <c r="H32" s="532">
        <f>3570</f>
        <v>3570</v>
      </c>
      <c r="I32" s="576" t="s">
        <v>1050</v>
      </c>
      <c r="J32" s="477"/>
    </row>
    <row r="33" spans="1:10" ht="39.950000000000003" customHeight="1">
      <c r="A33" s="529"/>
      <c r="B33" s="472"/>
      <c r="C33" s="473"/>
      <c r="D33" s="499"/>
      <c r="E33" s="475"/>
      <c r="F33" s="529">
        <v>20</v>
      </c>
      <c r="G33" s="534" t="s">
        <v>1068</v>
      </c>
      <c r="H33" s="536">
        <f>21850</f>
        <v>21850</v>
      </c>
      <c r="I33" s="576">
        <v>44400</v>
      </c>
      <c r="J33" s="477"/>
    </row>
    <row r="34" spans="1:10" ht="39.950000000000003" customHeight="1">
      <c r="A34" s="529"/>
      <c r="B34" s="472"/>
      <c r="C34" s="473"/>
      <c r="D34" s="499"/>
      <c r="E34" s="475"/>
      <c r="F34" s="529">
        <v>21</v>
      </c>
      <c r="G34" s="500" t="s">
        <v>1070</v>
      </c>
      <c r="H34" s="532">
        <f>92900+107500+8200</f>
        <v>208600</v>
      </c>
      <c r="I34" s="576" t="s">
        <v>1050</v>
      </c>
      <c r="J34" s="477"/>
    </row>
    <row r="35" spans="1:10" ht="39.950000000000003" customHeight="1" thickBot="1">
      <c r="A35" s="529"/>
      <c r="B35" s="472"/>
      <c r="C35" s="473"/>
      <c r="D35" s="499"/>
      <c r="E35" s="475"/>
      <c r="F35" s="529">
        <v>22</v>
      </c>
      <c r="G35" s="500" t="s">
        <v>1067</v>
      </c>
      <c r="H35" s="532">
        <f>3570</f>
        <v>3570</v>
      </c>
      <c r="I35" s="576" t="s">
        <v>1050</v>
      </c>
      <c r="J35" s="511"/>
    </row>
    <row r="36" spans="1:10" ht="39.950000000000003" customHeight="1" thickBot="1">
      <c r="A36" s="513"/>
      <c r="B36" s="514" t="s">
        <v>72</v>
      </c>
      <c r="C36" s="515">
        <f>SUM(C14:C35)</f>
        <v>68776057</v>
      </c>
      <c r="D36" s="516"/>
      <c r="E36" s="517"/>
      <c r="F36" s="518"/>
      <c r="G36" s="514" t="s">
        <v>72</v>
      </c>
      <c r="H36" s="519">
        <f>SUM(H14:H25)</f>
        <v>43925974</v>
      </c>
      <c r="I36" s="520" t="s">
        <v>73</v>
      </c>
      <c r="J36" s="521"/>
    </row>
    <row r="37" spans="1:10" ht="39.950000000000003" customHeight="1" thickBot="1">
      <c r="A37" s="864" t="s">
        <v>74</v>
      </c>
      <c r="B37" s="865"/>
      <c r="C37" s="865"/>
      <c r="D37" s="865"/>
      <c r="E37" s="865"/>
      <c r="F37" s="865"/>
      <c r="G37" s="865"/>
      <c r="H37" s="738"/>
      <c r="I37" s="739"/>
      <c r="J37" s="740"/>
    </row>
    <row r="38" spans="1:10" ht="39.950000000000003" customHeight="1" thickBot="1">
      <c r="A38" s="858" t="s">
        <v>1016</v>
      </c>
      <c r="B38" s="859"/>
      <c r="C38" s="859"/>
      <c r="D38" s="859"/>
      <c r="E38" s="860"/>
      <c r="F38" s="858" t="s">
        <v>1017</v>
      </c>
      <c r="G38" s="859"/>
      <c r="H38" s="859"/>
      <c r="I38" s="859"/>
      <c r="J38" s="860"/>
    </row>
    <row r="39" spans="1:10" ht="39.950000000000003" customHeight="1" thickBot="1">
      <c r="A39" s="459" t="s">
        <v>24</v>
      </c>
      <c r="B39" s="460" t="s">
        <v>25</v>
      </c>
      <c r="C39" s="461" t="s">
        <v>108</v>
      </c>
      <c r="D39" s="461" t="s">
        <v>27</v>
      </c>
      <c r="E39" s="744" t="s">
        <v>10</v>
      </c>
      <c r="F39" s="459" t="s">
        <v>24</v>
      </c>
      <c r="G39" s="460" t="s">
        <v>25</v>
      </c>
      <c r="H39" s="461" t="s">
        <v>108</v>
      </c>
      <c r="I39" s="461" t="s">
        <v>655</v>
      </c>
      <c r="J39" s="744" t="s">
        <v>10</v>
      </c>
    </row>
    <row r="40" spans="1:10" ht="39.950000000000003" customHeight="1">
      <c r="A40" s="524">
        <v>1</v>
      </c>
      <c r="B40" s="564" t="s">
        <v>1081</v>
      </c>
      <c r="C40" s="565">
        <v>6187500</v>
      </c>
      <c r="D40" s="741" t="s">
        <v>1082</v>
      </c>
      <c r="E40" s="567" t="s">
        <v>824</v>
      </c>
      <c r="F40" s="524">
        <v>1</v>
      </c>
      <c r="G40" s="525" t="s">
        <v>1042</v>
      </c>
      <c r="H40" s="623">
        <v>336986</v>
      </c>
      <c r="I40" s="503">
        <v>44403</v>
      </c>
      <c r="J40" s="555" t="s">
        <v>253</v>
      </c>
    </row>
    <row r="41" spans="1:10" ht="39.950000000000003" customHeight="1">
      <c r="A41" s="491">
        <v>2</v>
      </c>
      <c r="B41" s="487" t="s">
        <v>1085</v>
      </c>
      <c r="C41" s="488">
        <f>8712000</f>
        <v>8712000</v>
      </c>
      <c r="D41" s="587" t="s">
        <v>35</v>
      </c>
      <c r="E41" s="490" t="s">
        <v>1040</v>
      </c>
      <c r="F41" s="529">
        <v>2</v>
      </c>
      <c r="G41" s="500" t="s">
        <v>1000</v>
      </c>
      <c r="H41" s="501">
        <v>300300</v>
      </c>
      <c r="I41" s="503" t="s">
        <v>37</v>
      </c>
      <c r="J41" s="558" t="s">
        <v>35</v>
      </c>
    </row>
    <row r="42" spans="1:10" ht="39.950000000000003" customHeight="1">
      <c r="A42" s="529">
        <v>3</v>
      </c>
      <c r="B42" s="487" t="s">
        <v>1041</v>
      </c>
      <c r="C42" s="488">
        <v>6050000</v>
      </c>
      <c r="D42" s="587" t="s">
        <v>35</v>
      </c>
      <c r="E42" s="475"/>
      <c r="F42" s="529">
        <v>3</v>
      </c>
      <c r="G42" s="500" t="s">
        <v>1044</v>
      </c>
      <c r="H42" s="501">
        <v>107400</v>
      </c>
      <c r="I42" s="503" t="s">
        <v>37</v>
      </c>
      <c r="J42" s="558" t="s">
        <v>35</v>
      </c>
    </row>
    <row r="43" spans="1:10" ht="39.950000000000003" customHeight="1">
      <c r="A43" s="529">
        <v>4</v>
      </c>
      <c r="B43" s="472" t="s">
        <v>1035</v>
      </c>
      <c r="C43" s="473">
        <f>46376567</f>
        <v>46376567</v>
      </c>
      <c r="D43" s="719" t="s">
        <v>35</v>
      </c>
      <c r="E43" s="475"/>
      <c r="F43" s="529">
        <v>4</v>
      </c>
      <c r="G43" s="500" t="s">
        <v>1045</v>
      </c>
      <c r="H43" s="532">
        <v>64800</v>
      </c>
      <c r="I43" s="531" t="s">
        <v>37</v>
      </c>
      <c r="J43" s="477" t="s">
        <v>35</v>
      </c>
    </row>
    <row r="44" spans="1:10" ht="39.950000000000003" customHeight="1">
      <c r="A44" s="529">
        <v>5</v>
      </c>
      <c r="B44" s="472" t="s">
        <v>1053</v>
      </c>
      <c r="C44" s="716">
        <v>1145000</v>
      </c>
      <c r="D44" s="719" t="s">
        <v>35</v>
      </c>
      <c r="E44" s="475"/>
      <c r="F44" s="529">
        <v>5</v>
      </c>
      <c r="G44" s="500" t="s">
        <v>1110</v>
      </c>
      <c r="H44" s="532">
        <v>72760</v>
      </c>
      <c r="I44" s="531" t="s">
        <v>37</v>
      </c>
      <c r="J44" s="477" t="s">
        <v>35</v>
      </c>
    </row>
    <row r="45" spans="1:10" ht="39.950000000000003" customHeight="1">
      <c r="A45" s="529">
        <v>6</v>
      </c>
      <c r="B45" s="472" t="s">
        <v>1036</v>
      </c>
      <c r="C45" s="716">
        <v>11220000</v>
      </c>
      <c r="D45" s="673" t="s">
        <v>1019</v>
      </c>
      <c r="E45" s="475"/>
      <c r="F45" s="529">
        <v>6</v>
      </c>
      <c r="G45" s="500" t="s">
        <v>1061</v>
      </c>
      <c r="H45" s="501">
        <f>23333340</f>
        <v>23333340</v>
      </c>
      <c r="I45" s="531" t="s">
        <v>37</v>
      </c>
      <c r="J45" s="558" t="s">
        <v>35</v>
      </c>
    </row>
    <row r="46" spans="1:10" ht="39.950000000000003" customHeight="1">
      <c r="A46" s="529">
        <v>7</v>
      </c>
      <c r="B46" s="472" t="s">
        <v>1037</v>
      </c>
      <c r="C46" s="716">
        <v>47300000</v>
      </c>
      <c r="D46" s="674" t="s">
        <v>35</v>
      </c>
      <c r="E46" s="475"/>
      <c r="F46" s="529">
        <v>7</v>
      </c>
      <c r="G46" s="500" t="s">
        <v>1060</v>
      </c>
      <c r="H46" s="501">
        <f>78618830</f>
        <v>78618830</v>
      </c>
      <c r="I46" s="531" t="s">
        <v>37</v>
      </c>
      <c r="J46" s="558" t="s">
        <v>35</v>
      </c>
    </row>
    <row r="47" spans="1:10" ht="39.950000000000003" customHeight="1">
      <c r="A47" s="529">
        <v>8</v>
      </c>
      <c r="B47" s="498" t="s">
        <v>1038</v>
      </c>
      <c r="C47" s="716">
        <v>15620000</v>
      </c>
      <c r="D47" s="674" t="s">
        <v>35</v>
      </c>
      <c r="E47" s="475"/>
      <c r="F47" s="535">
        <v>8</v>
      </c>
      <c r="G47" s="506" t="s">
        <v>1109</v>
      </c>
      <c r="H47" s="596">
        <v>500000</v>
      </c>
      <c r="I47" s="539" t="s">
        <v>37</v>
      </c>
      <c r="J47" s="597" t="s">
        <v>35</v>
      </c>
    </row>
    <row r="48" spans="1:10" ht="39.950000000000003" customHeight="1">
      <c r="A48" s="529">
        <v>9</v>
      </c>
      <c r="B48" s="498" t="s">
        <v>1039</v>
      </c>
      <c r="C48" s="716">
        <v>22110000</v>
      </c>
      <c r="D48" s="674" t="s">
        <v>35</v>
      </c>
      <c r="E48" s="475"/>
      <c r="F48" s="491">
        <v>9</v>
      </c>
      <c r="G48" s="534" t="s">
        <v>1022</v>
      </c>
      <c r="H48" s="561">
        <v>6600000</v>
      </c>
      <c r="I48" s="576">
        <v>44407</v>
      </c>
      <c r="J48" s="470" t="s">
        <v>35</v>
      </c>
    </row>
    <row r="49" spans="1:10" ht="39.950000000000003" customHeight="1">
      <c r="A49" s="529">
        <v>10</v>
      </c>
      <c r="B49" s="472" t="s">
        <v>1099</v>
      </c>
      <c r="C49" s="473">
        <f>68840000*1.1</f>
        <v>75724000</v>
      </c>
      <c r="D49" s="674" t="s">
        <v>35</v>
      </c>
      <c r="E49" s="475"/>
      <c r="F49" s="529">
        <v>10</v>
      </c>
      <c r="G49" s="500" t="s">
        <v>1028</v>
      </c>
      <c r="H49" s="530">
        <v>1872949</v>
      </c>
      <c r="I49" s="503" t="s">
        <v>37</v>
      </c>
      <c r="J49" s="558" t="s">
        <v>35</v>
      </c>
    </row>
    <row r="50" spans="1:10" ht="39.950000000000003" customHeight="1">
      <c r="A50" s="529">
        <v>11</v>
      </c>
      <c r="B50" s="472" t="s">
        <v>1126</v>
      </c>
      <c r="C50" s="473">
        <v>9000000</v>
      </c>
      <c r="D50" s="674" t="s">
        <v>35</v>
      </c>
      <c r="E50" s="755"/>
      <c r="F50" s="529">
        <v>11</v>
      </c>
      <c r="G50" s="500" t="s">
        <v>1029</v>
      </c>
      <c r="H50" s="530">
        <v>1544959</v>
      </c>
      <c r="I50" s="531" t="s">
        <v>37</v>
      </c>
      <c r="J50" s="558" t="s">
        <v>35</v>
      </c>
    </row>
    <row r="51" spans="1:10" ht="39.950000000000003" customHeight="1">
      <c r="A51" s="535">
        <v>11</v>
      </c>
      <c r="B51" s="767" t="s">
        <v>1127</v>
      </c>
      <c r="C51" s="768">
        <v>11200000</v>
      </c>
      <c r="D51" s="718" t="s">
        <v>35</v>
      </c>
      <c r="E51" s="756"/>
      <c r="F51" s="529">
        <v>12</v>
      </c>
      <c r="G51" s="500" t="s">
        <v>1031</v>
      </c>
      <c r="H51" s="530">
        <f>3698933+6935500</f>
        <v>10634433</v>
      </c>
      <c r="I51" s="531" t="s">
        <v>37</v>
      </c>
      <c r="J51" s="558" t="s">
        <v>35</v>
      </c>
    </row>
    <row r="52" spans="1:10" ht="39.950000000000003" customHeight="1">
      <c r="A52" s="491">
        <v>12</v>
      </c>
      <c r="B52" s="769" t="s">
        <v>1058</v>
      </c>
      <c r="C52" s="770">
        <f>6500000</f>
        <v>6500000</v>
      </c>
      <c r="D52" s="749" t="s">
        <v>35</v>
      </c>
      <c r="E52" s="750" t="s">
        <v>52</v>
      </c>
      <c r="F52" s="529">
        <v>13</v>
      </c>
      <c r="G52" s="500" t="s">
        <v>1046</v>
      </c>
      <c r="H52" s="530">
        <f>3686067</f>
        <v>3686067</v>
      </c>
      <c r="I52" s="531" t="s">
        <v>37</v>
      </c>
      <c r="J52" s="558" t="s">
        <v>35</v>
      </c>
    </row>
    <row r="53" spans="1:10" ht="39.950000000000003" customHeight="1">
      <c r="A53" s="529">
        <v>13</v>
      </c>
      <c r="B53" s="487" t="s">
        <v>1092</v>
      </c>
      <c r="C53" s="488">
        <v>81510000</v>
      </c>
      <c r="D53" s="705" t="s">
        <v>1093</v>
      </c>
      <c r="E53" s="490" t="s">
        <v>1040</v>
      </c>
      <c r="F53" s="529">
        <v>14</v>
      </c>
      <c r="G53" s="500" t="s">
        <v>1047</v>
      </c>
      <c r="H53" s="530">
        <f>1228689</f>
        <v>1228689</v>
      </c>
      <c r="I53" s="531" t="s">
        <v>37</v>
      </c>
      <c r="J53" s="558" t="s">
        <v>35</v>
      </c>
    </row>
    <row r="54" spans="1:10" ht="39.950000000000003" customHeight="1">
      <c r="A54" s="529">
        <v>14</v>
      </c>
      <c r="B54" s="472" t="s">
        <v>1101</v>
      </c>
      <c r="C54" s="473">
        <v>43560000</v>
      </c>
      <c r="D54" s="753" t="s">
        <v>35</v>
      </c>
      <c r="E54" s="475" t="s">
        <v>35</v>
      </c>
      <c r="F54" s="529">
        <v>15</v>
      </c>
      <c r="G54" s="500" t="s">
        <v>1023</v>
      </c>
      <c r="H54" s="530">
        <v>968000</v>
      </c>
      <c r="I54" s="531" t="s">
        <v>37</v>
      </c>
      <c r="J54" s="558" t="s">
        <v>35</v>
      </c>
    </row>
    <row r="55" spans="1:10" ht="39.950000000000003" customHeight="1">
      <c r="A55" s="491">
        <v>15</v>
      </c>
      <c r="B55" s="487" t="s">
        <v>1129</v>
      </c>
      <c r="C55" s="488">
        <v>266222550</v>
      </c>
      <c r="D55" s="753" t="s">
        <v>35</v>
      </c>
      <c r="E55" s="490"/>
      <c r="F55" s="529">
        <v>16</v>
      </c>
      <c r="G55" s="500" t="s">
        <v>1024</v>
      </c>
      <c r="H55" s="530">
        <v>330000</v>
      </c>
      <c r="I55" s="531" t="s">
        <v>37</v>
      </c>
      <c r="J55" s="558" t="s">
        <v>35</v>
      </c>
    </row>
    <row r="56" spans="1:10" ht="39.950000000000003" customHeight="1">
      <c r="A56" s="529">
        <v>16</v>
      </c>
      <c r="B56" s="487" t="s">
        <v>1112</v>
      </c>
      <c r="C56" s="488">
        <v>79200000</v>
      </c>
      <c r="D56" s="717" t="s">
        <v>1125</v>
      </c>
      <c r="E56" s="475"/>
      <c r="F56" s="529">
        <v>17</v>
      </c>
      <c r="G56" s="500" t="s">
        <v>1025</v>
      </c>
      <c r="H56" s="532">
        <v>385000</v>
      </c>
      <c r="I56" s="531" t="s">
        <v>37</v>
      </c>
      <c r="J56" s="558" t="s">
        <v>35</v>
      </c>
    </row>
    <row r="57" spans="1:10" ht="39.950000000000003" customHeight="1">
      <c r="A57" s="529">
        <v>17</v>
      </c>
      <c r="B57" s="472" t="s">
        <v>1095</v>
      </c>
      <c r="C57" s="473">
        <v>82500000</v>
      </c>
      <c r="D57" s="674" t="s">
        <v>1097</v>
      </c>
      <c r="E57" s="490"/>
      <c r="F57" s="529">
        <v>18</v>
      </c>
      <c r="G57" s="500" t="s">
        <v>1124</v>
      </c>
      <c r="H57" s="532">
        <f>3850000</f>
        <v>3850000</v>
      </c>
      <c r="I57" s="531" t="s">
        <v>37</v>
      </c>
      <c r="J57" s="558" t="s">
        <v>35</v>
      </c>
    </row>
    <row r="58" spans="1:10" ht="39.950000000000003" customHeight="1">
      <c r="A58" s="529">
        <v>18</v>
      </c>
      <c r="B58" s="487" t="s">
        <v>1104</v>
      </c>
      <c r="C58" s="488">
        <v>6187500</v>
      </c>
      <c r="D58" s="717" t="s">
        <v>1107</v>
      </c>
      <c r="E58" s="475"/>
      <c r="F58" s="529">
        <v>19</v>
      </c>
      <c r="G58" s="500" t="s">
        <v>1026</v>
      </c>
      <c r="H58" s="532">
        <f>660000</f>
        <v>660000</v>
      </c>
      <c r="I58" s="531" t="s">
        <v>37</v>
      </c>
      <c r="J58" s="558" t="s">
        <v>35</v>
      </c>
    </row>
    <row r="59" spans="1:10" ht="39.950000000000003" customHeight="1">
      <c r="A59" s="529">
        <v>19</v>
      </c>
      <c r="B59" s="472" t="s">
        <v>1105</v>
      </c>
      <c r="C59" s="473">
        <v>13785057</v>
      </c>
      <c r="D59" s="672" t="s">
        <v>1108</v>
      </c>
      <c r="E59" s="475"/>
      <c r="F59" s="529">
        <v>20</v>
      </c>
      <c r="G59" s="500" t="s">
        <v>1059</v>
      </c>
      <c r="H59" s="532">
        <f>37120000</f>
        <v>37120000</v>
      </c>
      <c r="I59" s="531" t="s">
        <v>37</v>
      </c>
      <c r="J59" s="558"/>
    </row>
    <row r="60" spans="1:10" ht="39.950000000000003" customHeight="1">
      <c r="A60" s="529">
        <v>20</v>
      </c>
      <c r="B60" s="472" t="s">
        <v>1102</v>
      </c>
      <c r="C60" s="473">
        <v>23100000</v>
      </c>
      <c r="D60" s="672" t="s">
        <v>1103</v>
      </c>
      <c r="E60" s="475"/>
      <c r="F60" s="529">
        <v>21</v>
      </c>
      <c r="G60" s="533" t="s">
        <v>1034</v>
      </c>
      <c r="H60" s="532">
        <v>2788500</v>
      </c>
      <c r="I60" s="531" t="s">
        <v>37</v>
      </c>
      <c r="J60" s="558" t="s">
        <v>35</v>
      </c>
    </row>
    <row r="61" spans="1:10" ht="39.950000000000003" customHeight="1">
      <c r="A61" s="529">
        <v>21</v>
      </c>
      <c r="B61" s="472" t="s">
        <v>1106</v>
      </c>
      <c r="C61" s="473">
        <v>12416316</v>
      </c>
      <c r="D61" s="672" t="s">
        <v>140</v>
      </c>
      <c r="E61" s="475"/>
      <c r="F61" s="529">
        <v>22</v>
      </c>
      <c r="G61" s="533" t="s">
        <v>1027</v>
      </c>
      <c r="H61" s="532">
        <f>7081800</f>
        <v>7081800</v>
      </c>
      <c r="I61" s="531" t="s">
        <v>37</v>
      </c>
      <c r="J61" s="558" t="s">
        <v>35</v>
      </c>
    </row>
    <row r="62" spans="1:10" ht="39.950000000000003" customHeight="1">
      <c r="A62" s="529">
        <v>22</v>
      </c>
      <c r="B62" s="487" t="s">
        <v>1128</v>
      </c>
      <c r="C62" s="488">
        <v>6187500</v>
      </c>
      <c r="D62" s="672" t="s">
        <v>140</v>
      </c>
      <c r="E62" s="475"/>
      <c r="F62" s="529">
        <v>23</v>
      </c>
      <c r="G62" s="533" t="s">
        <v>1111</v>
      </c>
      <c r="H62" s="532">
        <f>22000*7</f>
        <v>154000</v>
      </c>
      <c r="I62" s="531" t="s">
        <v>37</v>
      </c>
      <c r="J62" s="558" t="s">
        <v>35</v>
      </c>
    </row>
    <row r="63" spans="1:10" ht="39.950000000000003" customHeight="1">
      <c r="A63" s="529">
        <v>23</v>
      </c>
      <c r="B63" s="757" t="s">
        <v>1096</v>
      </c>
      <c r="C63" s="758">
        <v>28600000</v>
      </c>
      <c r="D63" s="759" t="s">
        <v>140</v>
      </c>
      <c r="E63" s="475"/>
      <c r="F63" s="529">
        <v>24</v>
      </c>
      <c r="G63" s="500" t="s">
        <v>152</v>
      </c>
      <c r="H63" s="532">
        <f>209850+177530</f>
        <v>387380</v>
      </c>
      <c r="I63" s="531" t="s">
        <v>37</v>
      </c>
      <c r="J63" s="558" t="s">
        <v>35</v>
      </c>
    </row>
    <row r="64" spans="1:10" ht="39.950000000000003" customHeight="1">
      <c r="A64" s="529">
        <v>24</v>
      </c>
      <c r="B64" s="472" t="s">
        <v>1094</v>
      </c>
      <c r="C64" s="473">
        <v>10725000</v>
      </c>
      <c r="D64" s="672" t="s">
        <v>140</v>
      </c>
      <c r="E64" s="475"/>
      <c r="F64" s="529">
        <v>25</v>
      </c>
      <c r="G64" s="500" t="s">
        <v>1086</v>
      </c>
      <c r="H64" s="501">
        <v>3500000</v>
      </c>
      <c r="I64" s="531" t="s">
        <v>37</v>
      </c>
      <c r="J64" s="558" t="s">
        <v>35</v>
      </c>
    </row>
    <row r="65" spans="1:10" ht="39.950000000000003" customHeight="1">
      <c r="A65" s="529">
        <v>25</v>
      </c>
      <c r="B65" s="472" t="s">
        <v>1098</v>
      </c>
      <c r="C65" s="473">
        <v>880000</v>
      </c>
      <c r="D65" s="672" t="s">
        <v>140</v>
      </c>
      <c r="E65" s="475"/>
      <c r="F65" s="529">
        <v>26</v>
      </c>
      <c r="G65" s="500" t="s">
        <v>1030</v>
      </c>
      <c r="H65" s="532">
        <v>250000</v>
      </c>
      <c r="I65" s="531" t="s">
        <v>37</v>
      </c>
      <c r="J65" s="558" t="s">
        <v>35</v>
      </c>
    </row>
    <row r="66" spans="1:10" ht="39.950000000000003" customHeight="1">
      <c r="A66" s="529"/>
      <c r="B66" s="472"/>
      <c r="C66" s="473"/>
      <c r="D66" s="672"/>
      <c r="E66" s="475"/>
      <c r="F66" s="529">
        <v>27</v>
      </c>
      <c r="G66" s="506" t="s">
        <v>1084</v>
      </c>
      <c r="H66" s="538">
        <f>1945000/6</f>
        <v>324166.66666666669</v>
      </c>
      <c r="I66" s="539" t="s">
        <v>37</v>
      </c>
      <c r="J66" s="597" t="s">
        <v>35</v>
      </c>
    </row>
    <row r="67" spans="1:10" ht="39.950000000000003" customHeight="1">
      <c r="A67" s="529"/>
      <c r="B67" s="472"/>
      <c r="C67" s="473"/>
      <c r="D67" s="671"/>
      <c r="E67" s="475"/>
      <c r="F67" s="529">
        <v>28</v>
      </c>
      <c r="G67" s="534" t="s">
        <v>1074</v>
      </c>
      <c r="H67" s="536">
        <f>77300</f>
        <v>77300</v>
      </c>
      <c r="I67" s="531" t="s">
        <v>37</v>
      </c>
      <c r="J67" s="715" t="s">
        <v>37</v>
      </c>
    </row>
    <row r="68" spans="1:10" ht="39.950000000000003" customHeight="1">
      <c r="A68" s="529"/>
      <c r="B68" s="472"/>
      <c r="C68" s="473"/>
      <c r="D68" s="671"/>
      <c r="E68" s="475"/>
      <c r="F68" s="529">
        <v>29</v>
      </c>
      <c r="G68" s="500" t="s">
        <v>1075</v>
      </c>
      <c r="H68" s="532">
        <f>24000</f>
        <v>24000</v>
      </c>
      <c r="I68" s="531" t="s">
        <v>37</v>
      </c>
      <c r="J68" s="715" t="s">
        <v>37</v>
      </c>
    </row>
    <row r="69" spans="1:10" ht="39.950000000000003" customHeight="1">
      <c r="A69" s="529"/>
      <c r="B69" s="472"/>
      <c r="C69" s="473"/>
      <c r="D69" s="671"/>
      <c r="E69" s="475"/>
      <c r="F69" s="529">
        <v>30</v>
      </c>
      <c r="G69" s="500" t="s">
        <v>1076</v>
      </c>
      <c r="H69" s="532">
        <f>15000</f>
        <v>15000</v>
      </c>
      <c r="I69" s="531" t="s">
        <v>37</v>
      </c>
      <c r="J69" s="715" t="s">
        <v>37</v>
      </c>
    </row>
    <row r="70" spans="1:10" ht="39.950000000000003" customHeight="1">
      <c r="A70" s="529"/>
      <c r="B70" s="472"/>
      <c r="C70" s="473"/>
      <c r="D70" s="671"/>
      <c r="E70" s="475"/>
      <c r="F70" s="529">
        <v>31</v>
      </c>
      <c r="G70" s="500" t="s">
        <v>1077</v>
      </c>
      <c r="H70" s="532">
        <f>61900+56200</f>
        <v>118100</v>
      </c>
      <c r="I70" s="531" t="s">
        <v>37</v>
      </c>
      <c r="J70" s="715" t="s">
        <v>37</v>
      </c>
    </row>
    <row r="71" spans="1:10" ht="39.950000000000003" customHeight="1">
      <c r="A71" s="529"/>
      <c r="B71" s="472"/>
      <c r="C71" s="473"/>
      <c r="D71" s="671"/>
      <c r="E71" s="475"/>
      <c r="F71" s="529">
        <v>32</v>
      </c>
      <c r="G71" s="500" t="s">
        <v>1078</v>
      </c>
      <c r="H71" s="532">
        <f>31600</f>
        <v>31600</v>
      </c>
      <c r="I71" s="531" t="s">
        <v>37</v>
      </c>
      <c r="J71" s="715" t="s">
        <v>37</v>
      </c>
    </row>
    <row r="72" spans="1:10" ht="39.950000000000003" customHeight="1">
      <c r="A72" s="529"/>
      <c r="B72" s="472"/>
      <c r="C72" s="473"/>
      <c r="D72" s="671"/>
      <c r="E72" s="475"/>
      <c r="F72" s="529">
        <v>33</v>
      </c>
      <c r="G72" s="500" t="s">
        <v>1079</v>
      </c>
      <c r="H72" s="532">
        <f>58400</f>
        <v>58400</v>
      </c>
      <c r="I72" s="531" t="s">
        <v>37</v>
      </c>
      <c r="J72" s="715" t="s">
        <v>37</v>
      </c>
    </row>
    <row r="73" spans="1:10" ht="39.950000000000003" customHeight="1">
      <c r="A73" s="529"/>
      <c r="B73" s="472"/>
      <c r="C73" s="473"/>
      <c r="D73" s="671"/>
      <c r="E73" s="475"/>
      <c r="F73" s="529">
        <v>34</v>
      </c>
      <c r="G73" s="534" t="s">
        <v>1090</v>
      </c>
      <c r="H73" s="536">
        <f>15700</f>
        <v>15700</v>
      </c>
      <c r="I73" s="531" t="s">
        <v>37</v>
      </c>
      <c r="J73" s="715" t="s">
        <v>37</v>
      </c>
    </row>
    <row r="74" spans="1:10" ht="39.950000000000003" customHeight="1">
      <c r="A74" s="529"/>
      <c r="B74" s="472"/>
      <c r="C74" s="473"/>
      <c r="D74" s="671"/>
      <c r="E74" s="475"/>
      <c r="F74" s="529">
        <v>35</v>
      </c>
      <c r="G74" s="534" t="s">
        <v>1100</v>
      </c>
      <c r="H74" s="536">
        <f>22830</f>
        <v>22830</v>
      </c>
      <c r="I74" s="531" t="s">
        <v>37</v>
      </c>
      <c r="J74" s="715" t="s">
        <v>37</v>
      </c>
    </row>
    <row r="75" spans="1:10" ht="39.950000000000003" customHeight="1">
      <c r="A75" s="529"/>
      <c r="B75" s="472"/>
      <c r="C75" s="473"/>
      <c r="D75" s="671"/>
      <c r="E75" s="475"/>
      <c r="F75" s="529">
        <v>36</v>
      </c>
      <c r="G75" s="575" t="s">
        <v>1115</v>
      </c>
      <c r="H75" s="771">
        <f>40000</f>
        <v>40000</v>
      </c>
      <c r="I75" s="531" t="s">
        <v>37</v>
      </c>
      <c r="J75" s="715" t="s">
        <v>37</v>
      </c>
    </row>
    <row r="76" spans="1:10" ht="39.950000000000003" customHeight="1">
      <c r="A76" s="529"/>
      <c r="B76" s="472"/>
      <c r="C76" s="473"/>
      <c r="D76" s="671"/>
      <c r="E76" s="475"/>
      <c r="F76" s="529">
        <v>37</v>
      </c>
      <c r="G76" s="575" t="s">
        <v>1113</v>
      </c>
      <c r="H76" s="771">
        <v>95000</v>
      </c>
      <c r="I76" s="553" t="s">
        <v>37</v>
      </c>
      <c r="J76" s="751" t="s">
        <v>37</v>
      </c>
    </row>
    <row r="77" spans="1:10" ht="39.950000000000003" customHeight="1">
      <c r="A77" s="529"/>
      <c r="B77" s="472"/>
      <c r="C77" s="473"/>
      <c r="D77" s="671"/>
      <c r="E77" s="475"/>
      <c r="F77" s="529">
        <v>38</v>
      </c>
      <c r="G77" s="574" t="s">
        <v>1114</v>
      </c>
      <c r="H77" s="552">
        <f>29900</f>
        <v>29900</v>
      </c>
      <c r="I77" s="553" t="s">
        <v>37</v>
      </c>
      <c r="J77" s="751" t="s">
        <v>37</v>
      </c>
    </row>
    <row r="78" spans="1:10" ht="39.950000000000003" customHeight="1">
      <c r="A78" s="529"/>
      <c r="B78" s="472"/>
      <c r="C78" s="473"/>
      <c r="D78" s="671"/>
      <c r="E78" s="475"/>
      <c r="F78" s="529">
        <v>39</v>
      </c>
      <c r="G78" s="506" t="s">
        <v>1118</v>
      </c>
      <c r="H78" s="538">
        <v>15000</v>
      </c>
      <c r="I78" s="539" t="s">
        <v>37</v>
      </c>
      <c r="J78" s="748" t="s">
        <v>37</v>
      </c>
    </row>
    <row r="79" spans="1:10" ht="39.950000000000003" customHeight="1">
      <c r="A79" s="529"/>
      <c r="B79" s="472"/>
      <c r="C79" s="473"/>
      <c r="D79" s="671"/>
      <c r="E79" s="475"/>
      <c r="F79" s="529">
        <v>40</v>
      </c>
      <c r="G79" s="534" t="s">
        <v>1071</v>
      </c>
      <c r="H79" s="536">
        <v>340850</v>
      </c>
      <c r="I79" s="537" t="s">
        <v>37</v>
      </c>
      <c r="J79" s="747" t="s">
        <v>1117</v>
      </c>
    </row>
    <row r="80" spans="1:10" ht="39.950000000000003" customHeight="1">
      <c r="A80" s="529"/>
      <c r="B80" s="472"/>
      <c r="C80" s="473"/>
      <c r="D80" s="671"/>
      <c r="E80" s="475"/>
      <c r="F80" s="529">
        <v>41</v>
      </c>
      <c r="G80" s="500" t="s">
        <v>1116</v>
      </c>
      <c r="H80" s="532">
        <v>561700</v>
      </c>
      <c r="I80" s="553" t="s">
        <v>37</v>
      </c>
      <c r="J80" s="715" t="s">
        <v>35</v>
      </c>
    </row>
    <row r="81" spans="1:10" ht="39.950000000000003" customHeight="1">
      <c r="A81" s="529"/>
      <c r="B81" s="472"/>
      <c r="C81" s="473"/>
      <c r="D81" s="671"/>
      <c r="E81" s="475"/>
      <c r="F81" s="529">
        <v>42</v>
      </c>
      <c r="G81" s="500" t="s">
        <v>1072</v>
      </c>
      <c r="H81" s="532">
        <f>42200</f>
        <v>42200</v>
      </c>
      <c r="I81" s="553" t="s">
        <v>37</v>
      </c>
      <c r="J81" s="715" t="s">
        <v>35</v>
      </c>
    </row>
    <row r="82" spans="1:10" ht="39.950000000000003" customHeight="1" thickBot="1">
      <c r="A82" s="545"/>
      <c r="B82" s="725"/>
      <c r="C82" s="726"/>
      <c r="D82" s="727"/>
      <c r="E82" s="728"/>
      <c r="F82" s="529">
        <v>43</v>
      </c>
      <c r="G82" s="583" t="s">
        <v>1073</v>
      </c>
      <c r="H82" s="547">
        <v>11019680</v>
      </c>
      <c r="I82" s="548" t="s">
        <v>37</v>
      </c>
      <c r="J82" s="746" t="s">
        <v>35</v>
      </c>
    </row>
    <row r="83" spans="1:10" ht="39.75" customHeight="1" thickBot="1">
      <c r="A83" s="513"/>
      <c r="B83" s="514" t="s">
        <v>72</v>
      </c>
      <c r="C83" s="519">
        <f>SUM(C40:C82)</f>
        <v>922018990</v>
      </c>
      <c r="D83" s="516"/>
      <c r="E83" s="517"/>
      <c r="F83" s="729"/>
      <c r="G83" s="730" t="s">
        <v>72</v>
      </c>
      <c r="H83" s="516">
        <f>SUM(H40:H78)</f>
        <v>187243189.66666666</v>
      </c>
      <c r="I83" s="516"/>
      <c r="J83" s="731"/>
    </row>
    <row r="84" spans="1:10">
      <c r="H84" t="s">
        <v>1091</v>
      </c>
    </row>
  </sheetData>
  <mergeCells count="17">
    <mergeCell ref="A37:G37"/>
    <mergeCell ref="A38:E38"/>
    <mergeCell ref="F38:J38"/>
    <mergeCell ref="A8:B9"/>
    <mergeCell ref="C8:E9"/>
    <mergeCell ref="F8:G9"/>
    <mergeCell ref="H8:J9"/>
    <mergeCell ref="A11:G11"/>
    <mergeCell ref="A12:E12"/>
    <mergeCell ref="F12:J12"/>
    <mergeCell ref="A2:J3"/>
    <mergeCell ref="A5:I5"/>
    <mergeCell ref="A6:G6"/>
    <mergeCell ref="A7:B7"/>
    <mergeCell ref="C7:E7"/>
    <mergeCell ref="F7:G7"/>
    <mergeCell ref="H7:J7"/>
  </mergeCells>
  <phoneticPr fontId="2" type="noConversion"/>
  <printOptions horizontalCentered="1"/>
  <pageMargins left="0" right="0" top="0" bottom="0" header="0" footer="0"/>
  <pageSetup paperSize="9" scale="32" orientation="portrait" r:id="rId1"/>
  <rowBreaks count="1" manualBreakCount="1">
    <brk id="36" max="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BE835-EE59-43E3-8FE7-6729CB668927}">
  <sheetPr>
    <tabColor rgb="FF00B0F0"/>
  </sheetPr>
  <dimension ref="A1:J53"/>
  <sheetViews>
    <sheetView view="pageBreakPreview" topLeftCell="A28" zoomScaleNormal="100" zoomScaleSheetLayoutView="100" workbookViewId="0">
      <selection activeCell="G45" sqref="G45"/>
    </sheetView>
  </sheetViews>
  <sheetFormatPr defaultRowHeight="16.5"/>
  <cols>
    <col min="1" max="1" width="4.5" customWidth="1"/>
    <col min="2" max="2" width="38.375" customWidth="1"/>
    <col min="3" max="5" width="18.25" customWidth="1"/>
    <col min="6" max="6" width="4.5" customWidth="1"/>
    <col min="7" max="7" width="38.375" customWidth="1"/>
    <col min="8" max="8" width="18.25" customWidth="1"/>
    <col min="9" max="10" width="18.25" style="13" customWidth="1"/>
  </cols>
  <sheetData>
    <row r="1" spans="1:10" ht="21.95" customHeight="1">
      <c r="A1" s="811" t="s">
        <v>14</v>
      </c>
      <c r="B1" s="811"/>
      <c r="C1" s="811"/>
      <c r="D1" s="811"/>
      <c r="E1" s="811"/>
      <c r="F1" s="811"/>
      <c r="G1" s="811"/>
      <c r="H1" s="811"/>
      <c r="I1" s="811"/>
      <c r="J1" s="811"/>
    </row>
    <row r="2" spans="1:10" ht="24.75" customHeight="1">
      <c r="A2" s="811"/>
      <c r="B2" s="811"/>
      <c r="C2" s="811"/>
      <c r="D2" s="811"/>
      <c r="E2" s="811"/>
      <c r="F2" s="811"/>
      <c r="G2" s="811"/>
      <c r="H2" s="811"/>
      <c r="I2" s="811"/>
      <c r="J2" s="811"/>
    </row>
    <row r="3" spans="1:10" ht="11.25" customHeight="1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ht="19.5" customHeight="1">
      <c r="A4" s="818" t="s">
        <v>15</v>
      </c>
      <c r="B4" s="818"/>
      <c r="C4" s="818"/>
      <c r="D4" s="818"/>
      <c r="E4" s="818"/>
      <c r="F4" s="818"/>
      <c r="G4" s="818"/>
      <c r="H4" s="818"/>
      <c r="I4" s="818"/>
      <c r="J4" s="689"/>
    </row>
    <row r="5" spans="1:10" ht="19.5" customHeight="1" thickBot="1">
      <c r="A5" s="818" t="s">
        <v>16</v>
      </c>
      <c r="B5" s="819"/>
      <c r="C5" s="819"/>
      <c r="D5" s="819"/>
      <c r="E5" s="819"/>
      <c r="F5" s="819"/>
      <c r="G5" s="819"/>
      <c r="H5" s="690"/>
      <c r="I5" s="3"/>
      <c r="J5" s="3"/>
    </row>
    <row r="6" spans="1:10" ht="19.5" customHeight="1" thickBot="1">
      <c r="A6" s="822" t="s">
        <v>17</v>
      </c>
      <c r="B6" s="823"/>
      <c r="C6" s="837" t="s">
        <v>18</v>
      </c>
      <c r="D6" s="828"/>
      <c r="E6" s="838"/>
      <c r="F6" s="837" t="s">
        <v>19</v>
      </c>
      <c r="G6" s="838"/>
      <c r="H6" s="828" t="s">
        <v>20</v>
      </c>
      <c r="I6" s="828"/>
      <c r="J6" s="829"/>
    </row>
    <row r="7" spans="1:10" ht="19.5" customHeight="1" thickTop="1" thickBot="1">
      <c r="A7" s="824">
        <v>-48849342</v>
      </c>
      <c r="B7" s="825"/>
      <c r="C7" s="812">
        <f>C30</f>
        <v>164770506</v>
      </c>
      <c r="D7" s="813"/>
      <c r="E7" s="814"/>
      <c r="F7" s="839">
        <f>SUM(H30)</f>
        <v>140968365</v>
      </c>
      <c r="G7" s="840"/>
      <c r="H7" s="830">
        <f>SUM(A7:E8)-F7</f>
        <v>-25047201</v>
      </c>
      <c r="I7" s="830"/>
      <c r="J7" s="831"/>
    </row>
    <row r="8" spans="1:10" ht="19.5" customHeight="1" thickTop="1" thickBot="1">
      <c r="A8" s="826"/>
      <c r="B8" s="827"/>
      <c r="C8" s="815"/>
      <c r="D8" s="816"/>
      <c r="E8" s="817"/>
      <c r="F8" s="841"/>
      <c r="G8" s="842"/>
      <c r="H8" s="832"/>
      <c r="I8" s="832"/>
      <c r="J8" s="833"/>
    </row>
    <row r="9" spans="1:10" ht="19.5" customHeight="1">
      <c r="A9" s="689"/>
      <c r="B9" s="690"/>
      <c r="C9" s="690"/>
      <c r="D9" s="690"/>
      <c r="E9" s="690"/>
      <c r="F9" s="690"/>
      <c r="G9" s="690"/>
      <c r="H9" s="690"/>
      <c r="I9" s="23"/>
      <c r="J9" s="23"/>
    </row>
    <row r="10" spans="1:10" ht="19.5" customHeight="1" thickBot="1">
      <c r="A10" s="818" t="s">
        <v>21</v>
      </c>
      <c r="B10" s="819"/>
      <c r="C10" s="819"/>
      <c r="D10" s="819"/>
      <c r="E10" s="819"/>
      <c r="F10" s="819"/>
      <c r="G10" s="819"/>
      <c r="H10" s="690"/>
      <c r="I10" s="3"/>
      <c r="J10" s="3"/>
    </row>
    <row r="11" spans="1:10" ht="30" customHeight="1">
      <c r="A11" s="834" t="s">
        <v>22</v>
      </c>
      <c r="B11" s="835"/>
      <c r="C11" s="835"/>
      <c r="D11" s="835"/>
      <c r="E11" s="836"/>
      <c r="F11" s="834" t="s">
        <v>23</v>
      </c>
      <c r="G11" s="835"/>
      <c r="H11" s="835"/>
      <c r="I11" s="835"/>
      <c r="J11" s="836"/>
    </row>
    <row r="12" spans="1:10" ht="30" customHeight="1" thickBot="1">
      <c r="A12" s="25" t="s">
        <v>24</v>
      </c>
      <c r="B12" s="28" t="s">
        <v>25</v>
      </c>
      <c r="C12" s="26" t="s">
        <v>26</v>
      </c>
      <c r="D12" s="26" t="s">
        <v>27</v>
      </c>
      <c r="E12" s="48" t="s">
        <v>10</v>
      </c>
      <c r="F12" s="25" t="s">
        <v>24</v>
      </c>
      <c r="G12" s="28" t="s">
        <v>25</v>
      </c>
      <c r="H12" s="26" t="s">
        <v>26</v>
      </c>
      <c r="I12" s="26" t="s">
        <v>27</v>
      </c>
      <c r="J12" s="48" t="s">
        <v>10</v>
      </c>
    </row>
    <row r="13" spans="1:10" ht="30" customHeight="1" thickTop="1">
      <c r="A13" s="49">
        <v>1</v>
      </c>
      <c r="B13" s="120" t="s">
        <v>28</v>
      </c>
      <c r="C13" s="121">
        <f>4500000</f>
        <v>4500000</v>
      </c>
      <c r="D13" s="122" t="s">
        <v>29</v>
      </c>
      <c r="E13" s="123" t="s">
        <v>30</v>
      </c>
      <c r="F13" s="49">
        <v>1</v>
      </c>
      <c r="G13" s="35" t="s">
        <v>31</v>
      </c>
      <c r="H13" s="36">
        <f>37961460</f>
        <v>37961460</v>
      </c>
      <c r="I13" s="35" t="s">
        <v>32</v>
      </c>
      <c r="J13" s="50" t="s">
        <v>33</v>
      </c>
    </row>
    <row r="14" spans="1:10" ht="30" customHeight="1">
      <c r="A14" s="27">
        <v>2</v>
      </c>
      <c r="B14" s="18" t="s">
        <v>34</v>
      </c>
      <c r="C14" s="16">
        <f>131934000</f>
        <v>131934000</v>
      </c>
      <c r="D14" s="41" t="s">
        <v>35</v>
      </c>
      <c r="E14" s="124" t="s">
        <v>35</v>
      </c>
      <c r="F14" s="27">
        <v>2</v>
      </c>
      <c r="G14" s="5" t="s">
        <v>36</v>
      </c>
      <c r="H14" s="32">
        <v>23449687</v>
      </c>
      <c r="I14" s="10" t="s">
        <v>37</v>
      </c>
      <c r="J14" s="51" t="s">
        <v>37</v>
      </c>
    </row>
    <row r="15" spans="1:10" ht="30" customHeight="1">
      <c r="A15" s="27">
        <v>3</v>
      </c>
      <c r="B15" s="15" t="s">
        <v>38</v>
      </c>
      <c r="C15" s="17">
        <f>22009490</f>
        <v>22009490</v>
      </c>
      <c r="D15" s="42" t="s">
        <v>39</v>
      </c>
      <c r="E15" s="124" t="s">
        <v>35</v>
      </c>
      <c r="F15" s="27">
        <v>3</v>
      </c>
      <c r="G15" s="10" t="s">
        <v>40</v>
      </c>
      <c r="H15" s="32">
        <v>8250000</v>
      </c>
      <c r="I15" s="10" t="s">
        <v>37</v>
      </c>
      <c r="J15" s="51" t="s">
        <v>37</v>
      </c>
    </row>
    <row r="16" spans="1:10" ht="30" customHeight="1">
      <c r="A16" s="27">
        <v>4</v>
      </c>
      <c r="B16" s="15" t="s">
        <v>41</v>
      </c>
      <c r="C16" s="17">
        <v>912883</v>
      </c>
      <c r="D16" s="41" t="s">
        <v>35</v>
      </c>
      <c r="E16" s="124" t="s">
        <v>35</v>
      </c>
      <c r="F16" s="27">
        <v>4</v>
      </c>
      <c r="G16" s="21" t="s">
        <v>42</v>
      </c>
      <c r="H16" s="32">
        <v>5610000</v>
      </c>
      <c r="I16" s="10" t="s">
        <v>37</v>
      </c>
      <c r="J16" s="51" t="s">
        <v>37</v>
      </c>
    </row>
    <row r="17" spans="1:10" ht="30" customHeight="1">
      <c r="A17" s="27">
        <v>5</v>
      </c>
      <c r="B17" s="15" t="s">
        <v>43</v>
      </c>
      <c r="C17" s="17">
        <v>106722</v>
      </c>
      <c r="D17" s="41" t="s">
        <v>35</v>
      </c>
      <c r="E17" s="124" t="s">
        <v>35</v>
      </c>
      <c r="F17" s="27">
        <v>5</v>
      </c>
      <c r="G17" s="21" t="s">
        <v>44</v>
      </c>
      <c r="H17" s="32">
        <f>14516218</f>
        <v>14516218</v>
      </c>
      <c r="I17" s="10" t="s">
        <v>37</v>
      </c>
      <c r="J17" s="51" t="s">
        <v>37</v>
      </c>
    </row>
    <row r="18" spans="1:10" ht="30" customHeight="1">
      <c r="A18" s="27">
        <v>6</v>
      </c>
      <c r="B18" s="15" t="s">
        <v>45</v>
      </c>
      <c r="C18" s="17">
        <f>3300000</f>
        <v>3300000</v>
      </c>
      <c r="D18" s="42" t="s">
        <v>46</v>
      </c>
      <c r="E18" s="124" t="s">
        <v>35</v>
      </c>
      <c r="F18" s="27">
        <v>6</v>
      </c>
      <c r="G18" s="10" t="s">
        <v>47</v>
      </c>
      <c r="H18" s="32">
        <v>5170000</v>
      </c>
      <c r="I18" s="10" t="s">
        <v>37</v>
      </c>
      <c r="J18" s="51" t="s">
        <v>37</v>
      </c>
    </row>
    <row r="19" spans="1:10" ht="30" customHeight="1">
      <c r="A19" s="52">
        <v>7</v>
      </c>
      <c r="B19" s="125" t="s">
        <v>48</v>
      </c>
      <c r="C19" s="126">
        <f>9779</f>
        <v>9779</v>
      </c>
      <c r="D19" s="127" t="s">
        <v>49</v>
      </c>
      <c r="E19" s="128" t="s">
        <v>35</v>
      </c>
      <c r="F19" s="27">
        <v>7</v>
      </c>
      <c r="G19" s="10" t="s">
        <v>50</v>
      </c>
      <c r="H19" s="32">
        <f>8000000</f>
        <v>8000000</v>
      </c>
      <c r="I19" s="10" t="s">
        <v>37</v>
      </c>
      <c r="J19" s="51" t="s">
        <v>37</v>
      </c>
    </row>
    <row r="20" spans="1:10" ht="30" customHeight="1">
      <c r="A20" s="54">
        <v>8</v>
      </c>
      <c r="B20" s="129" t="s">
        <v>51</v>
      </c>
      <c r="C20" s="130">
        <v>3042</v>
      </c>
      <c r="D20" s="130" t="s">
        <v>35</v>
      </c>
      <c r="E20" s="131" t="s">
        <v>52</v>
      </c>
      <c r="F20" s="27">
        <v>8</v>
      </c>
      <c r="G20" s="10" t="s">
        <v>53</v>
      </c>
      <c r="H20" s="33">
        <v>8000000</v>
      </c>
      <c r="I20" s="10" t="s">
        <v>54</v>
      </c>
      <c r="J20" s="51" t="s">
        <v>37</v>
      </c>
    </row>
    <row r="21" spans="1:10" ht="30" customHeight="1">
      <c r="A21" s="56">
        <v>9</v>
      </c>
      <c r="B21" s="15" t="s">
        <v>55</v>
      </c>
      <c r="C21" s="96">
        <f>1004000</f>
        <v>1004000</v>
      </c>
      <c r="D21" s="96" t="s">
        <v>56</v>
      </c>
      <c r="E21" s="96" t="s">
        <v>57</v>
      </c>
      <c r="F21" s="52">
        <v>9</v>
      </c>
      <c r="G21" s="37" t="s">
        <v>58</v>
      </c>
      <c r="H21" s="38">
        <f>30000000</f>
        <v>30000000</v>
      </c>
      <c r="I21" s="37" t="s">
        <v>37</v>
      </c>
      <c r="J21" s="53" t="s">
        <v>37</v>
      </c>
    </row>
    <row r="22" spans="1:10" ht="30" customHeight="1">
      <c r="A22" s="27">
        <v>10</v>
      </c>
      <c r="B22" s="10" t="s">
        <v>59</v>
      </c>
      <c r="C22" s="19">
        <v>980000</v>
      </c>
      <c r="D22" s="19" t="s">
        <v>35</v>
      </c>
      <c r="E22" s="19" t="s">
        <v>35</v>
      </c>
      <c r="F22" s="54">
        <v>10</v>
      </c>
      <c r="G22" s="39" t="s">
        <v>60</v>
      </c>
      <c r="H22" s="40">
        <v>11000</v>
      </c>
      <c r="I22" s="44">
        <v>44271</v>
      </c>
      <c r="J22" s="55" t="s">
        <v>61</v>
      </c>
    </row>
    <row r="23" spans="1:10" ht="30" customHeight="1">
      <c r="A23" s="27">
        <v>11</v>
      </c>
      <c r="B23" s="15" t="s">
        <v>62</v>
      </c>
      <c r="C23" s="19">
        <f>9697</f>
        <v>9697</v>
      </c>
      <c r="D23" s="19" t="s">
        <v>49</v>
      </c>
      <c r="E23" s="19" t="s">
        <v>35</v>
      </c>
      <c r="F23" s="56">
        <v>11</v>
      </c>
      <c r="G23" s="5" t="s">
        <v>63</v>
      </c>
      <c r="H23" s="9">
        <f>21850</f>
        <v>21850</v>
      </c>
      <c r="I23" s="45">
        <v>44270</v>
      </c>
      <c r="J23" s="57" t="s">
        <v>64</v>
      </c>
    </row>
    <row r="24" spans="1:10" ht="30" customHeight="1">
      <c r="A24" s="27">
        <v>12</v>
      </c>
      <c r="B24" s="15" t="s">
        <v>65</v>
      </c>
      <c r="C24" s="19">
        <f>893</f>
        <v>893</v>
      </c>
      <c r="D24" s="19" t="s">
        <v>37</v>
      </c>
      <c r="E24" s="19" t="s">
        <v>37</v>
      </c>
      <c r="F24" s="27">
        <v>12</v>
      </c>
      <c r="G24" s="10" t="s">
        <v>66</v>
      </c>
      <c r="H24" s="7">
        <f>22500</f>
        <v>22500</v>
      </c>
      <c r="I24" s="12" t="s">
        <v>35</v>
      </c>
      <c r="J24" s="58" t="s">
        <v>35</v>
      </c>
    </row>
    <row r="25" spans="1:10" ht="30" customHeight="1">
      <c r="A25" s="27"/>
      <c r="B25" s="14"/>
      <c r="C25" s="10"/>
      <c r="D25" s="19"/>
      <c r="E25" s="60"/>
      <c r="F25" s="27">
        <v>13</v>
      </c>
      <c r="G25" s="10" t="s">
        <v>67</v>
      </c>
      <c r="H25" s="7">
        <f>33000</f>
        <v>33000</v>
      </c>
      <c r="I25" s="12">
        <v>44271</v>
      </c>
      <c r="J25" s="58" t="s">
        <v>35</v>
      </c>
    </row>
    <row r="26" spans="1:10" ht="30" customHeight="1">
      <c r="A26" s="27"/>
      <c r="B26" s="14"/>
      <c r="C26" s="10"/>
      <c r="D26" s="19"/>
      <c r="E26" s="60"/>
      <c r="F26" s="27">
        <v>14</v>
      </c>
      <c r="G26" s="10" t="s">
        <v>68</v>
      </c>
      <c r="H26" s="7">
        <f>33000</f>
        <v>33000</v>
      </c>
      <c r="I26" s="12">
        <v>44273</v>
      </c>
      <c r="J26" s="58" t="s">
        <v>35</v>
      </c>
    </row>
    <row r="27" spans="1:10" ht="30" customHeight="1">
      <c r="A27" s="27"/>
      <c r="B27" s="29"/>
      <c r="C27" s="10"/>
      <c r="D27" s="19"/>
      <c r="E27" s="60"/>
      <c r="F27" s="27">
        <v>15</v>
      </c>
      <c r="G27" s="10" t="s">
        <v>69</v>
      </c>
      <c r="H27" s="7">
        <f>99900</f>
        <v>99900</v>
      </c>
      <c r="I27" s="12">
        <v>44274</v>
      </c>
      <c r="J27" s="58" t="s">
        <v>35</v>
      </c>
    </row>
    <row r="28" spans="1:10" ht="30" customHeight="1">
      <c r="A28" s="27"/>
      <c r="B28" s="29"/>
      <c r="C28" s="10"/>
      <c r="D28" s="19"/>
      <c r="E28" s="60"/>
      <c r="F28" s="27">
        <v>16</v>
      </c>
      <c r="G28" s="10" t="s">
        <v>70</v>
      </c>
      <c r="H28" s="7">
        <f>1725000</f>
        <v>1725000</v>
      </c>
      <c r="I28" s="8">
        <v>44276</v>
      </c>
      <c r="J28" s="58" t="s">
        <v>35</v>
      </c>
    </row>
    <row r="29" spans="1:10" ht="30" customHeight="1" thickBot="1">
      <c r="A29" s="27"/>
      <c r="B29" s="29"/>
      <c r="C29" s="10"/>
      <c r="D29" s="19"/>
      <c r="E29" s="61"/>
      <c r="F29" s="81">
        <v>17</v>
      </c>
      <c r="G29" s="21" t="s">
        <v>71</v>
      </c>
      <c r="H29" s="82">
        <v>32813</v>
      </c>
      <c r="I29" s="12" t="s">
        <v>35</v>
      </c>
      <c r="J29" s="58" t="s">
        <v>35</v>
      </c>
    </row>
    <row r="30" spans="1:10" ht="30" customHeight="1" thickTop="1" thickBot="1">
      <c r="A30" s="30"/>
      <c r="B30" s="31" t="s">
        <v>72</v>
      </c>
      <c r="C30" s="24">
        <f>SUM(C13:C29)</f>
        <v>164770506</v>
      </c>
      <c r="D30" s="43"/>
      <c r="E30" s="62"/>
      <c r="F30" s="59"/>
      <c r="G30" s="31" t="s">
        <v>72</v>
      </c>
      <c r="H30" s="34">
        <f>SUM(H13:H22)</f>
        <v>140968365</v>
      </c>
      <c r="I30" s="47" t="s">
        <v>73</v>
      </c>
      <c r="J30" s="46"/>
    </row>
    <row r="31" spans="1:10" ht="30" customHeight="1" thickBot="1">
      <c r="A31" s="820" t="s">
        <v>74</v>
      </c>
      <c r="B31" s="821"/>
      <c r="C31" s="821"/>
      <c r="D31" s="821"/>
      <c r="E31" s="821"/>
      <c r="F31" s="821"/>
      <c r="G31" s="821"/>
      <c r="H31" s="691"/>
      <c r="I31" s="11"/>
      <c r="J31" s="11"/>
    </row>
    <row r="32" spans="1:10" ht="30" customHeight="1">
      <c r="A32" s="834" t="s">
        <v>75</v>
      </c>
      <c r="B32" s="835"/>
      <c r="C32" s="835"/>
      <c r="D32" s="835"/>
      <c r="E32" s="836"/>
      <c r="F32" s="834" t="s">
        <v>76</v>
      </c>
      <c r="G32" s="835"/>
      <c r="H32" s="835"/>
      <c r="I32" s="835"/>
      <c r="J32" s="836"/>
    </row>
    <row r="33" spans="1:10" ht="30" customHeight="1" thickBot="1">
      <c r="A33" s="25" t="s">
        <v>24</v>
      </c>
      <c r="B33" s="28" t="s">
        <v>25</v>
      </c>
      <c r="C33" s="26" t="s">
        <v>26</v>
      </c>
      <c r="D33" s="26" t="s">
        <v>27</v>
      </c>
      <c r="E33" s="48" t="s">
        <v>10</v>
      </c>
      <c r="F33" s="25" t="s">
        <v>24</v>
      </c>
      <c r="G33" s="28" t="s">
        <v>25</v>
      </c>
      <c r="H33" s="26" t="s">
        <v>26</v>
      </c>
      <c r="I33" s="26" t="s">
        <v>27</v>
      </c>
      <c r="J33" s="48" t="s">
        <v>10</v>
      </c>
    </row>
    <row r="34" spans="1:10" ht="30" customHeight="1" thickTop="1">
      <c r="A34" s="4">
        <v>1</v>
      </c>
      <c r="B34" s="10" t="s">
        <v>77</v>
      </c>
      <c r="C34" s="19">
        <v>38745666</v>
      </c>
      <c r="D34" s="71" t="s">
        <v>78</v>
      </c>
      <c r="E34" s="63" t="s">
        <v>30</v>
      </c>
      <c r="F34" s="4">
        <v>1</v>
      </c>
      <c r="G34" s="5" t="s">
        <v>79</v>
      </c>
      <c r="H34" s="69">
        <v>484821</v>
      </c>
      <c r="I34" s="71">
        <v>44277</v>
      </c>
      <c r="J34" s="63" t="s">
        <v>33</v>
      </c>
    </row>
    <row r="35" spans="1:10" ht="30" customHeight="1">
      <c r="A35" s="4">
        <v>2</v>
      </c>
      <c r="B35" s="22" t="s">
        <v>80</v>
      </c>
      <c r="C35" s="19">
        <v>11440000</v>
      </c>
      <c r="D35" s="7" t="s">
        <v>35</v>
      </c>
      <c r="E35" s="63" t="s">
        <v>35</v>
      </c>
      <c r="F35" s="4">
        <v>2</v>
      </c>
      <c r="G35" s="5" t="s">
        <v>81</v>
      </c>
      <c r="H35" s="69">
        <v>1000000</v>
      </c>
      <c r="I35" s="71" t="s">
        <v>35</v>
      </c>
      <c r="J35" s="71" t="s">
        <v>35</v>
      </c>
    </row>
    <row r="36" spans="1:10" ht="30" customHeight="1">
      <c r="A36" s="77">
        <v>3</v>
      </c>
      <c r="B36" s="132" t="s">
        <v>82</v>
      </c>
      <c r="C36" s="80">
        <v>6050000</v>
      </c>
      <c r="D36" s="73" t="s">
        <v>83</v>
      </c>
      <c r="E36" s="133" t="s">
        <v>35</v>
      </c>
      <c r="F36" s="4">
        <v>3</v>
      </c>
      <c r="G36" s="5" t="s">
        <v>84</v>
      </c>
      <c r="H36" s="69">
        <v>500000</v>
      </c>
      <c r="I36" s="71" t="s">
        <v>35</v>
      </c>
      <c r="J36" s="71" t="s">
        <v>35</v>
      </c>
    </row>
    <row r="37" spans="1:10" ht="30" customHeight="1">
      <c r="A37" s="75">
        <v>4</v>
      </c>
      <c r="B37" s="5" t="s">
        <v>85</v>
      </c>
      <c r="C37" s="96">
        <f>13090000</f>
        <v>13090000</v>
      </c>
      <c r="D37" s="9" t="s">
        <v>86</v>
      </c>
      <c r="E37" s="76" t="s">
        <v>57</v>
      </c>
      <c r="F37" s="4">
        <v>4</v>
      </c>
      <c r="G37" s="5" t="s">
        <v>87</v>
      </c>
      <c r="H37" s="69">
        <v>500000</v>
      </c>
      <c r="I37" s="71" t="s">
        <v>35</v>
      </c>
      <c r="J37" s="71" t="s">
        <v>35</v>
      </c>
    </row>
    <row r="38" spans="1:10" ht="30" customHeight="1">
      <c r="A38" s="4">
        <v>5</v>
      </c>
      <c r="B38" s="10" t="s">
        <v>88</v>
      </c>
      <c r="C38" s="19">
        <f>6189295</f>
        <v>6189295</v>
      </c>
      <c r="D38" s="7" t="s">
        <v>35</v>
      </c>
      <c r="E38" s="63" t="s">
        <v>35</v>
      </c>
      <c r="F38" s="4">
        <v>5</v>
      </c>
      <c r="G38" s="5" t="s">
        <v>89</v>
      </c>
      <c r="H38" s="69">
        <v>165000</v>
      </c>
      <c r="I38" s="71">
        <v>44278</v>
      </c>
      <c r="J38" s="71" t="s">
        <v>35</v>
      </c>
    </row>
    <row r="39" spans="1:10" ht="30" customHeight="1">
      <c r="A39" s="77">
        <v>6</v>
      </c>
      <c r="B39" s="37" t="s">
        <v>59</v>
      </c>
      <c r="C39" s="80">
        <v>1184000</v>
      </c>
      <c r="D39" s="119" t="s">
        <v>35</v>
      </c>
      <c r="E39" s="133" t="s">
        <v>35</v>
      </c>
      <c r="F39" s="4">
        <v>6</v>
      </c>
      <c r="G39" s="5" t="s">
        <v>90</v>
      </c>
      <c r="H39" s="69">
        <v>165000</v>
      </c>
      <c r="I39" s="71" t="s">
        <v>35</v>
      </c>
      <c r="J39" s="8" t="s">
        <v>35</v>
      </c>
    </row>
    <row r="40" spans="1:10" ht="30" customHeight="1">
      <c r="A40" s="75">
        <v>7</v>
      </c>
      <c r="B40" s="5" t="s">
        <v>91</v>
      </c>
      <c r="C40" s="96">
        <f>3854</f>
        <v>3854</v>
      </c>
      <c r="D40" s="134" t="s">
        <v>78</v>
      </c>
      <c r="E40" s="76" t="s">
        <v>92</v>
      </c>
      <c r="F40" s="4">
        <v>7</v>
      </c>
      <c r="G40" s="5" t="s">
        <v>93</v>
      </c>
      <c r="H40" s="69">
        <v>500000</v>
      </c>
      <c r="I40" s="71" t="s">
        <v>35</v>
      </c>
      <c r="J40" s="71" t="s">
        <v>35</v>
      </c>
    </row>
    <row r="41" spans="1:10" ht="30" customHeight="1">
      <c r="A41" s="4"/>
      <c r="B41" s="10"/>
      <c r="C41" s="19"/>
      <c r="D41" s="7"/>
      <c r="E41" s="63"/>
      <c r="F41" s="4">
        <v>8</v>
      </c>
      <c r="G41" s="5" t="s">
        <v>94</v>
      </c>
      <c r="H41" s="69">
        <f>1585600</f>
        <v>1585600</v>
      </c>
      <c r="I41" s="71" t="s">
        <v>35</v>
      </c>
      <c r="J41" s="71" t="s">
        <v>35</v>
      </c>
    </row>
    <row r="42" spans="1:10" ht="30" customHeight="1">
      <c r="A42" s="4"/>
      <c r="B42" s="10"/>
      <c r="C42" s="19"/>
      <c r="D42" s="7"/>
      <c r="E42" s="63"/>
      <c r="F42" s="4">
        <v>9</v>
      </c>
      <c r="G42" s="5" t="s">
        <v>95</v>
      </c>
      <c r="H42" s="69">
        <v>12032443</v>
      </c>
      <c r="I42" s="71" t="s">
        <v>35</v>
      </c>
      <c r="J42" s="71" t="s">
        <v>35</v>
      </c>
    </row>
    <row r="43" spans="1:10" ht="30" customHeight="1">
      <c r="A43" s="4"/>
      <c r="B43" s="10"/>
      <c r="C43" s="19"/>
      <c r="D43" s="7"/>
      <c r="E43" s="63"/>
      <c r="F43" s="77">
        <v>10</v>
      </c>
      <c r="G43" s="37" t="s">
        <v>96</v>
      </c>
      <c r="H43" s="72">
        <f>23333330</f>
        <v>23333330</v>
      </c>
      <c r="I43" s="73">
        <v>44280</v>
      </c>
      <c r="J43" s="78" t="s">
        <v>35</v>
      </c>
    </row>
    <row r="44" spans="1:10" ht="30" customHeight="1">
      <c r="A44" s="4"/>
      <c r="B44" s="10"/>
      <c r="C44" s="19"/>
      <c r="D44" s="7"/>
      <c r="E44" s="63"/>
      <c r="F44" s="75">
        <v>11</v>
      </c>
      <c r="G44" s="5" t="s">
        <v>97</v>
      </c>
      <c r="H44" s="69">
        <f>323110</f>
        <v>323110</v>
      </c>
      <c r="I44" s="71">
        <v>44277</v>
      </c>
      <c r="J44" s="76" t="s">
        <v>61</v>
      </c>
    </row>
    <row r="45" spans="1:10" ht="30" customHeight="1">
      <c r="A45" s="4"/>
      <c r="B45" s="10"/>
      <c r="C45" s="19"/>
      <c r="D45" s="7"/>
      <c r="E45" s="64"/>
      <c r="F45" s="4">
        <v>12</v>
      </c>
      <c r="G45" s="10" t="s">
        <v>98</v>
      </c>
      <c r="H45" s="74">
        <f>50050</f>
        <v>50050</v>
      </c>
      <c r="I45" s="7" t="s">
        <v>35</v>
      </c>
      <c r="J45" s="71" t="s">
        <v>35</v>
      </c>
    </row>
    <row r="46" spans="1:10" ht="30" customHeight="1">
      <c r="A46" s="4"/>
      <c r="B46" s="10"/>
      <c r="C46" s="19"/>
      <c r="D46" s="7"/>
      <c r="E46" s="63"/>
      <c r="F46" s="4">
        <v>13</v>
      </c>
      <c r="G46" s="10" t="s">
        <v>99</v>
      </c>
      <c r="H46" s="19">
        <f>132000</f>
        <v>132000</v>
      </c>
      <c r="I46" s="7" t="s">
        <v>35</v>
      </c>
      <c r="J46" s="71" t="s">
        <v>35</v>
      </c>
    </row>
    <row r="47" spans="1:10" ht="30" customHeight="1">
      <c r="A47" s="4"/>
      <c r="B47" s="10"/>
      <c r="C47" s="19"/>
      <c r="D47" s="7"/>
      <c r="E47" s="63"/>
      <c r="F47" s="4">
        <v>14</v>
      </c>
      <c r="G47" s="10" t="s">
        <v>100</v>
      </c>
      <c r="H47" s="19">
        <v>11000</v>
      </c>
      <c r="I47" s="7" t="s">
        <v>35</v>
      </c>
      <c r="J47" s="71" t="s">
        <v>35</v>
      </c>
    </row>
    <row r="48" spans="1:10" ht="30" customHeight="1">
      <c r="A48" s="4"/>
      <c r="B48" s="10"/>
      <c r="C48" s="19"/>
      <c r="D48" s="7"/>
      <c r="E48" s="63"/>
      <c r="F48" s="4">
        <v>15</v>
      </c>
      <c r="G48" s="10" t="s">
        <v>101</v>
      </c>
      <c r="H48" s="19">
        <f>300300</f>
        <v>300300</v>
      </c>
      <c r="I48" s="71">
        <v>44280</v>
      </c>
      <c r="J48" s="71" t="s">
        <v>35</v>
      </c>
    </row>
    <row r="49" spans="1:10" ht="30" customHeight="1">
      <c r="A49" s="107"/>
      <c r="B49" s="108"/>
      <c r="C49" s="109"/>
      <c r="D49" s="110"/>
      <c r="E49" s="111"/>
      <c r="F49" s="4">
        <v>16</v>
      </c>
      <c r="G49" s="10" t="s">
        <v>102</v>
      </c>
      <c r="H49" s="19">
        <f>220000</f>
        <v>220000</v>
      </c>
      <c r="I49" s="7" t="s">
        <v>35</v>
      </c>
      <c r="J49" s="71" t="s">
        <v>35</v>
      </c>
    </row>
    <row r="50" spans="1:10" ht="30" customHeight="1">
      <c r="A50" s="107"/>
      <c r="B50" s="108"/>
      <c r="C50" s="109"/>
      <c r="D50" s="110"/>
      <c r="E50" s="111"/>
      <c r="F50" s="4">
        <v>17</v>
      </c>
      <c r="G50" s="10" t="s">
        <v>103</v>
      </c>
      <c r="H50" s="19">
        <f>107400</f>
        <v>107400</v>
      </c>
      <c r="I50" s="7" t="s">
        <v>35</v>
      </c>
      <c r="J50" s="71" t="s">
        <v>35</v>
      </c>
    </row>
    <row r="51" spans="1:10" ht="30" customHeight="1" thickBot="1">
      <c r="A51" s="107"/>
      <c r="B51" s="108"/>
      <c r="C51" s="109"/>
      <c r="D51" s="110"/>
      <c r="E51" s="111"/>
      <c r="F51" s="77">
        <v>18</v>
      </c>
      <c r="G51" s="37" t="s">
        <v>104</v>
      </c>
      <c r="H51" s="80">
        <f>32900</f>
        <v>32900</v>
      </c>
      <c r="I51" s="7" t="s">
        <v>35</v>
      </c>
      <c r="J51" s="71" t="s">
        <v>35</v>
      </c>
    </row>
    <row r="52" spans="1:10" ht="30" customHeight="1" thickTop="1" thickBot="1">
      <c r="A52" s="30"/>
      <c r="B52" s="31" t="s">
        <v>72</v>
      </c>
      <c r="C52" s="34">
        <f>SUM(C34:C51)</f>
        <v>76702815</v>
      </c>
      <c r="D52" s="43"/>
      <c r="E52" s="62"/>
      <c r="F52" s="30"/>
      <c r="G52" s="31" t="s">
        <v>72</v>
      </c>
      <c r="H52" s="34">
        <f>SUM(H34:H51)</f>
        <v>41442954</v>
      </c>
      <c r="I52" s="47" t="s">
        <v>73</v>
      </c>
      <c r="J52" s="62"/>
    </row>
    <row r="53" spans="1:10" ht="14.25">
      <c r="A53" s="2"/>
      <c r="B53" s="2"/>
      <c r="C53" s="2"/>
      <c r="D53" s="2"/>
      <c r="E53" s="2"/>
      <c r="F53" s="2"/>
      <c r="G53" s="2"/>
      <c r="H53" s="2"/>
      <c r="I53" s="3"/>
      <c r="J53" s="3"/>
    </row>
  </sheetData>
  <mergeCells count="17">
    <mergeCell ref="A32:E32"/>
    <mergeCell ref="F32:J32"/>
    <mergeCell ref="F6:G6"/>
    <mergeCell ref="F7:G8"/>
    <mergeCell ref="C6:E6"/>
    <mergeCell ref="A1:J2"/>
    <mergeCell ref="C7:E8"/>
    <mergeCell ref="A4:I4"/>
    <mergeCell ref="A5:G5"/>
    <mergeCell ref="A31:G31"/>
    <mergeCell ref="A6:B6"/>
    <mergeCell ref="A7:B8"/>
    <mergeCell ref="A10:G10"/>
    <mergeCell ref="H6:J6"/>
    <mergeCell ref="H7:J8"/>
    <mergeCell ref="F11:J11"/>
    <mergeCell ref="A11:E11"/>
  </mergeCells>
  <phoneticPr fontId="2" type="noConversion"/>
  <pageMargins left="0" right="0" top="0.39370078740157483" bottom="0" header="0.31496062992125984" footer="0.31496062992125984"/>
  <pageSetup paperSize="9" scale="52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CF011-6E6D-4B1E-9DFB-BCBDAA6B6DBC}">
  <sheetPr>
    <tabColor rgb="FF00B0F0"/>
  </sheetPr>
  <dimension ref="A1:K109"/>
  <sheetViews>
    <sheetView view="pageBreakPreview" topLeftCell="A7" zoomScale="70" zoomScaleNormal="100" zoomScaleSheetLayoutView="70" workbookViewId="0">
      <selection activeCell="G17" sqref="G17"/>
    </sheetView>
  </sheetViews>
  <sheetFormatPr defaultRowHeight="16.5"/>
  <cols>
    <col min="1" max="1" width="6.75" bestFit="1" customWidth="1"/>
    <col min="2" max="2" width="68.875" customWidth="1"/>
    <col min="3" max="3" width="22.625" bestFit="1" customWidth="1"/>
    <col min="4" max="4" width="17.125" customWidth="1"/>
    <col min="5" max="5" width="23.25" hidden="1" customWidth="1"/>
    <col min="6" max="6" width="6.75" bestFit="1" customWidth="1"/>
    <col min="7" max="7" width="74.25" customWidth="1"/>
    <col min="8" max="8" width="22.625" bestFit="1" customWidth="1"/>
    <col min="9" max="9" width="22.625" customWidth="1"/>
    <col min="10" max="10" width="27.25" style="13" bestFit="1" customWidth="1"/>
    <col min="11" max="11" width="44.25" style="13" hidden="1" customWidth="1"/>
  </cols>
  <sheetData>
    <row r="1" spans="1:11" ht="36.75" customHeight="1"/>
    <row r="2" spans="1:11" ht="21.95" customHeight="1">
      <c r="A2" s="811" t="s">
        <v>14</v>
      </c>
      <c r="B2" s="811"/>
      <c r="C2" s="811"/>
      <c r="D2" s="811"/>
      <c r="E2" s="811"/>
      <c r="F2" s="811"/>
      <c r="G2" s="811"/>
      <c r="H2" s="811"/>
      <c r="I2" s="811"/>
      <c r="J2" s="811"/>
      <c r="K2" s="811"/>
    </row>
    <row r="3" spans="1:11" ht="12" customHeight="1">
      <c r="A3" s="811"/>
      <c r="B3" s="811"/>
      <c r="C3" s="811"/>
      <c r="D3" s="811"/>
      <c r="E3" s="811"/>
      <c r="F3" s="811"/>
      <c r="G3" s="811"/>
      <c r="H3" s="811"/>
      <c r="I3" s="811"/>
      <c r="J3" s="811"/>
      <c r="K3" s="811"/>
    </row>
    <row r="4" spans="1:11" ht="21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ht="18" customHeight="1">
      <c r="A5" s="818" t="s">
        <v>1121</v>
      </c>
      <c r="B5" s="818"/>
      <c r="C5" s="818"/>
      <c r="D5" s="818"/>
      <c r="E5" s="818"/>
      <c r="F5" s="818"/>
      <c r="G5" s="818"/>
      <c r="H5" s="818"/>
      <c r="I5" s="818"/>
      <c r="J5" s="818"/>
      <c r="K5" s="742"/>
    </row>
    <row r="6" spans="1:11" ht="18" customHeight="1" thickBot="1">
      <c r="A6" s="818" t="s">
        <v>16</v>
      </c>
      <c r="B6" s="819"/>
      <c r="C6" s="819"/>
      <c r="D6" s="819"/>
      <c r="E6" s="819"/>
      <c r="F6" s="819"/>
      <c r="G6" s="819"/>
      <c r="H6" s="743"/>
      <c r="I6" s="765"/>
      <c r="J6" s="3"/>
      <c r="K6" s="3"/>
    </row>
    <row r="7" spans="1:11" ht="27.75" customHeight="1" thickBot="1">
      <c r="A7" s="843" t="s">
        <v>17</v>
      </c>
      <c r="B7" s="844"/>
      <c r="C7" s="837" t="s">
        <v>18</v>
      </c>
      <c r="D7" s="828"/>
      <c r="E7" s="838"/>
      <c r="F7" s="837" t="s">
        <v>19</v>
      </c>
      <c r="G7" s="838"/>
      <c r="H7" s="828" t="s">
        <v>20</v>
      </c>
      <c r="I7" s="828"/>
      <c r="J7" s="828"/>
      <c r="K7" s="829"/>
    </row>
    <row r="8" spans="1:11" ht="18" customHeight="1" thickTop="1" thickBot="1">
      <c r="A8" s="824">
        <v>-7420620.40200001</v>
      </c>
      <c r="B8" s="825"/>
      <c r="C8" s="812">
        <f>C53</f>
        <v>329955067</v>
      </c>
      <c r="D8" s="813"/>
      <c r="E8" s="814"/>
      <c r="F8" s="839">
        <f>H53</f>
        <v>184214641.66666666</v>
      </c>
      <c r="G8" s="840"/>
      <c r="H8" s="830">
        <f>SUM(A8:E9)-F8</f>
        <v>138319804.93133333</v>
      </c>
      <c r="I8" s="830"/>
      <c r="J8" s="830"/>
      <c r="K8" s="831"/>
    </row>
    <row r="9" spans="1:11" ht="22.5" customHeight="1" thickTop="1" thickBot="1">
      <c r="A9" s="826"/>
      <c r="B9" s="827"/>
      <c r="C9" s="815"/>
      <c r="D9" s="816"/>
      <c r="E9" s="817"/>
      <c r="F9" s="841"/>
      <c r="G9" s="842"/>
      <c r="H9" s="832"/>
      <c r="I9" s="832"/>
      <c r="J9" s="832"/>
      <c r="K9" s="833"/>
    </row>
    <row r="10" spans="1:11" ht="18" customHeight="1">
      <c r="A10" s="742"/>
      <c r="B10" s="743"/>
      <c r="C10" s="743"/>
      <c r="D10" s="743"/>
      <c r="E10" s="743"/>
      <c r="F10" s="743"/>
      <c r="G10" s="743"/>
      <c r="H10" s="743"/>
      <c r="I10" s="765"/>
      <c r="J10" s="23"/>
      <c r="K10" s="23"/>
    </row>
    <row r="11" spans="1:11" ht="32.25" customHeight="1" thickBot="1">
      <c r="A11" s="818" t="s">
        <v>21</v>
      </c>
      <c r="B11" s="819"/>
      <c r="C11" s="819"/>
      <c r="D11" s="819"/>
      <c r="E11" s="819"/>
      <c r="F11" s="819"/>
      <c r="G11" s="819"/>
      <c r="H11" s="743"/>
      <c r="I11" s="765"/>
      <c r="J11" s="3"/>
      <c r="K11" s="3"/>
    </row>
    <row r="12" spans="1:11" ht="39.950000000000003" customHeight="1" thickBot="1">
      <c r="A12" s="858" t="s">
        <v>1119</v>
      </c>
      <c r="B12" s="859"/>
      <c r="C12" s="859"/>
      <c r="D12" s="859"/>
      <c r="E12" s="860"/>
      <c r="F12" s="858" t="s">
        <v>1120</v>
      </c>
      <c r="G12" s="859"/>
      <c r="H12" s="859"/>
      <c r="I12" s="859"/>
      <c r="J12" s="859"/>
      <c r="K12" s="860"/>
    </row>
    <row r="13" spans="1:11" ht="39.950000000000003" customHeight="1" thickBot="1">
      <c r="A13" s="459" t="s">
        <v>24</v>
      </c>
      <c r="B13" s="460" t="s">
        <v>25</v>
      </c>
      <c r="C13" s="461" t="s">
        <v>108</v>
      </c>
      <c r="D13" s="461" t="s">
        <v>27</v>
      </c>
      <c r="E13" s="744" t="s">
        <v>10</v>
      </c>
      <c r="F13" s="523" t="s">
        <v>24</v>
      </c>
      <c r="G13" s="460" t="s">
        <v>25</v>
      </c>
      <c r="H13" s="461" t="s">
        <v>108</v>
      </c>
      <c r="I13" s="461" t="s">
        <v>1138</v>
      </c>
      <c r="J13" s="461" t="s">
        <v>655</v>
      </c>
      <c r="K13" s="744" t="s">
        <v>10</v>
      </c>
    </row>
    <row r="14" spans="1:11" ht="39.950000000000003" customHeight="1">
      <c r="A14" s="524">
        <v>1</v>
      </c>
      <c r="B14" s="564" t="s">
        <v>1081</v>
      </c>
      <c r="C14" s="565">
        <v>6187500</v>
      </c>
      <c r="D14" s="741" t="s">
        <v>1082</v>
      </c>
      <c r="E14" s="567" t="s">
        <v>824</v>
      </c>
      <c r="F14" s="524">
        <v>1</v>
      </c>
      <c r="G14" s="525" t="s">
        <v>1042</v>
      </c>
      <c r="H14" s="623">
        <v>336986</v>
      </c>
      <c r="I14" s="623"/>
      <c r="J14" s="527">
        <v>44403</v>
      </c>
      <c r="K14" s="555" t="s">
        <v>253</v>
      </c>
    </row>
    <row r="15" spans="1:11" ht="39.950000000000003" customHeight="1">
      <c r="A15" s="491">
        <v>2</v>
      </c>
      <c r="B15" s="487" t="s">
        <v>1085</v>
      </c>
      <c r="C15" s="488">
        <f>8712000</f>
        <v>8712000</v>
      </c>
      <c r="D15" s="587" t="s">
        <v>35</v>
      </c>
      <c r="E15" s="490" t="s">
        <v>1040</v>
      </c>
      <c r="F15" s="529">
        <v>2</v>
      </c>
      <c r="G15" s="500" t="s">
        <v>1000</v>
      </c>
      <c r="H15" s="501">
        <v>300300</v>
      </c>
      <c r="I15" s="501"/>
      <c r="J15" s="503" t="s">
        <v>37</v>
      </c>
      <c r="K15" s="558" t="s">
        <v>35</v>
      </c>
    </row>
    <row r="16" spans="1:11" ht="39.950000000000003" customHeight="1">
      <c r="A16" s="491">
        <v>3</v>
      </c>
      <c r="B16" s="487" t="s">
        <v>1041</v>
      </c>
      <c r="C16" s="488">
        <v>6050000</v>
      </c>
      <c r="D16" s="587" t="s">
        <v>35</v>
      </c>
      <c r="E16" s="475"/>
      <c r="F16" s="529">
        <v>3</v>
      </c>
      <c r="G16" s="500" t="s">
        <v>1044</v>
      </c>
      <c r="H16" s="501">
        <v>107400</v>
      </c>
      <c r="I16" s="501"/>
      <c r="J16" s="503" t="s">
        <v>37</v>
      </c>
      <c r="K16" s="558" t="s">
        <v>35</v>
      </c>
    </row>
    <row r="17" spans="1:11" ht="39.950000000000003" customHeight="1">
      <c r="A17" s="491">
        <v>4</v>
      </c>
      <c r="B17" s="541" t="s">
        <v>1035</v>
      </c>
      <c r="C17" s="542">
        <f>46376567</f>
        <v>46376567</v>
      </c>
      <c r="D17" s="622" t="s">
        <v>35</v>
      </c>
      <c r="E17" s="543"/>
      <c r="F17" s="529">
        <v>4</v>
      </c>
      <c r="G17" s="500" t="s">
        <v>1045</v>
      </c>
      <c r="H17" s="532">
        <v>64800</v>
      </c>
      <c r="I17" s="532"/>
      <c r="J17" s="531" t="s">
        <v>37</v>
      </c>
      <c r="K17" s="477" t="s">
        <v>35</v>
      </c>
    </row>
    <row r="18" spans="1:11" ht="39.950000000000003" customHeight="1">
      <c r="A18" s="491">
        <v>5</v>
      </c>
      <c r="B18" s="487" t="s">
        <v>1170</v>
      </c>
      <c r="C18" s="760">
        <v>1145000</v>
      </c>
      <c r="D18" s="588" t="s">
        <v>35</v>
      </c>
      <c r="E18" s="490"/>
      <c r="F18" s="529">
        <v>5</v>
      </c>
      <c r="G18" s="500" t="s">
        <v>1110</v>
      </c>
      <c r="H18" s="532">
        <v>72760</v>
      </c>
      <c r="I18" s="532"/>
      <c r="J18" s="531" t="s">
        <v>37</v>
      </c>
      <c r="K18" s="477" t="s">
        <v>35</v>
      </c>
    </row>
    <row r="19" spans="1:11" ht="39.950000000000003" customHeight="1">
      <c r="A19" s="491">
        <v>6</v>
      </c>
      <c r="B19" s="472" t="s">
        <v>1036</v>
      </c>
      <c r="C19" s="716">
        <v>11220000</v>
      </c>
      <c r="D19" s="673" t="s">
        <v>1130</v>
      </c>
      <c r="E19" s="475" t="s">
        <v>35</v>
      </c>
      <c r="F19" s="529">
        <v>6</v>
      </c>
      <c r="G19" s="500" t="s">
        <v>1061</v>
      </c>
      <c r="H19" s="501">
        <f>23333340</f>
        <v>23333340</v>
      </c>
      <c r="I19" s="501"/>
      <c r="J19" s="531" t="s">
        <v>37</v>
      </c>
      <c r="K19" s="558" t="s">
        <v>35</v>
      </c>
    </row>
    <row r="20" spans="1:11" ht="39.950000000000003" customHeight="1">
      <c r="A20" s="491">
        <v>7</v>
      </c>
      <c r="B20" s="498" t="s">
        <v>1038</v>
      </c>
      <c r="C20" s="716">
        <v>15620000</v>
      </c>
      <c r="D20" s="674" t="s">
        <v>35</v>
      </c>
      <c r="E20" s="475" t="s">
        <v>35</v>
      </c>
      <c r="F20" s="529">
        <v>7</v>
      </c>
      <c r="G20" s="500" t="s">
        <v>1060</v>
      </c>
      <c r="H20" s="501">
        <f>78618830</f>
        <v>78618830</v>
      </c>
      <c r="I20" s="501"/>
      <c r="J20" s="531" t="s">
        <v>37</v>
      </c>
      <c r="K20" s="558" t="s">
        <v>35</v>
      </c>
    </row>
    <row r="21" spans="1:11" ht="39.950000000000003" customHeight="1">
      <c r="A21" s="491">
        <v>8</v>
      </c>
      <c r="B21" s="498" t="s">
        <v>1039</v>
      </c>
      <c r="C21" s="716">
        <v>22110000</v>
      </c>
      <c r="D21" s="674" t="s">
        <v>35</v>
      </c>
      <c r="E21" s="475" t="s">
        <v>35</v>
      </c>
      <c r="F21" s="529">
        <v>8</v>
      </c>
      <c r="G21" s="500" t="s">
        <v>84</v>
      </c>
      <c r="H21" s="501">
        <v>500000</v>
      </c>
      <c r="I21" s="501"/>
      <c r="J21" s="531" t="s">
        <v>37</v>
      </c>
      <c r="K21" s="558" t="s">
        <v>35</v>
      </c>
    </row>
    <row r="22" spans="1:11" ht="39.950000000000003" customHeight="1">
      <c r="A22" s="491">
        <v>9</v>
      </c>
      <c r="B22" s="472" t="s">
        <v>1126</v>
      </c>
      <c r="C22" s="473">
        <v>9000000</v>
      </c>
      <c r="D22" s="674" t="s">
        <v>35</v>
      </c>
      <c r="E22" s="475" t="s">
        <v>35</v>
      </c>
      <c r="F22" s="529">
        <v>9</v>
      </c>
      <c r="G22" s="500" t="s">
        <v>1022</v>
      </c>
      <c r="H22" s="530">
        <v>6600000</v>
      </c>
      <c r="I22" s="530"/>
      <c r="J22" s="503">
        <v>44407</v>
      </c>
      <c r="K22" s="558" t="s">
        <v>35</v>
      </c>
    </row>
    <row r="23" spans="1:11" ht="39.950000000000003" customHeight="1">
      <c r="A23" s="491">
        <v>10</v>
      </c>
      <c r="B23" s="472" t="s">
        <v>1096</v>
      </c>
      <c r="C23" s="473">
        <v>28600000</v>
      </c>
      <c r="D23" s="674" t="s">
        <v>35</v>
      </c>
      <c r="E23" s="475" t="s">
        <v>35</v>
      </c>
      <c r="F23" s="529">
        <v>10</v>
      </c>
      <c r="G23" s="500" t="s">
        <v>1028</v>
      </c>
      <c r="H23" s="530">
        <v>1872949</v>
      </c>
      <c r="I23" s="530"/>
      <c r="J23" s="503" t="s">
        <v>37</v>
      </c>
      <c r="K23" s="558" t="s">
        <v>35</v>
      </c>
    </row>
    <row r="24" spans="1:11" ht="39.950000000000003" customHeight="1">
      <c r="A24" s="491">
        <v>11</v>
      </c>
      <c r="B24" s="761" t="s">
        <v>1127</v>
      </c>
      <c r="C24" s="716">
        <v>11200000</v>
      </c>
      <c r="D24" s="674" t="s">
        <v>35</v>
      </c>
      <c r="E24" s="475" t="s">
        <v>35</v>
      </c>
      <c r="F24" s="529">
        <v>11</v>
      </c>
      <c r="G24" s="500" t="s">
        <v>1029</v>
      </c>
      <c r="H24" s="530">
        <v>1544959</v>
      </c>
      <c r="I24" s="530"/>
      <c r="J24" s="531" t="s">
        <v>37</v>
      </c>
      <c r="K24" s="558" t="s">
        <v>35</v>
      </c>
    </row>
    <row r="25" spans="1:11" ht="39.950000000000003" customHeight="1">
      <c r="A25" s="733">
        <v>12</v>
      </c>
      <c r="B25" s="480" t="s">
        <v>1092</v>
      </c>
      <c r="C25" s="481">
        <v>81510000</v>
      </c>
      <c r="D25" s="718" t="s">
        <v>35</v>
      </c>
      <c r="E25" s="483"/>
      <c r="F25" s="529">
        <v>12</v>
      </c>
      <c r="G25" s="500" t="s">
        <v>1031</v>
      </c>
      <c r="H25" s="530">
        <f>3698933+6935500</f>
        <v>10634433</v>
      </c>
      <c r="I25" s="530"/>
      <c r="J25" s="531" t="s">
        <v>37</v>
      </c>
      <c r="K25" s="558" t="s">
        <v>35</v>
      </c>
    </row>
    <row r="26" spans="1:11" ht="39.950000000000003" customHeight="1">
      <c r="A26" s="589">
        <v>13</v>
      </c>
      <c r="B26" s="599" t="s">
        <v>1099</v>
      </c>
      <c r="C26" s="590">
        <f>68840000*1.1</f>
        <v>75724000</v>
      </c>
      <c r="D26" s="762" t="s">
        <v>35</v>
      </c>
      <c r="E26" s="591" t="s">
        <v>824</v>
      </c>
      <c r="F26" s="529">
        <v>13</v>
      </c>
      <c r="G26" s="500" t="s">
        <v>1046</v>
      </c>
      <c r="H26" s="530">
        <f>3686067</f>
        <v>3686067</v>
      </c>
      <c r="I26" s="530"/>
      <c r="J26" s="531" t="s">
        <v>37</v>
      </c>
      <c r="K26" s="558" t="s">
        <v>35</v>
      </c>
    </row>
    <row r="27" spans="1:11" ht="39.950000000000003" customHeight="1">
      <c r="A27" s="491">
        <v>14</v>
      </c>
      <c r="B27" s="487" t="s">
        <v>1058</v>
      </c>
      <c r="C27" s="760">
        <f>6500000</f>
        <v>6500000</v>
      </c>
      <c r="D27" s="705" t="s">
        <v>35</v>
      </c>
      <c r="E27" s="490" t="s">
        <v>52</v>
      </c>
      <c r="F27" s="529">
        <v>14</v>
      </c>
      <c r="G27" s="500" t="s">
        <v>1047</v>
      </c>
      <c r="H27" s="530">
        <f>1228689</f>
        <v>1228689</v>
      </c>
      <c r="I27" s="530"/>
      <c r="J27" s="531" t="s">
        <v>37</v>
      </c>
      <c r="K27" s="558" t="s">
        <v>35</v>
      </c>
    </row>
    <row r="28" spans="1:11" ht="39.950000000000003" customHeight="1">
      <c r="A28" s="529"/>
      <c r="B28" s="472"/>
      <c r="C28" s="473"/>
      <c r="D28" s="674"/>
      <c r="E28" s="475"/>
      <c r="F28" s="529">
        <v>15</v>
      </c>
      <c r="G28" s="500" t="s">
        <v>1023</v>
      </c>
      <c r="H28" s="530">
        <v>968000</v>
      </c>
      <c r="I28" s="530"/>
      <c r="J28" s="531" t="s">
        <v>37</v>
      </c>
      <c r="K28" s="558" t="s">
        <v>35</v>
      </c>
    </row>
    <row r="29" spans="1:11" ht="39.950000000000003" customHeight="1">
      <c r="A29" s="529"/>
      <c r="B29" s="472"/>
      <c r="C29" s="473"/>
      <c r="D29" s="674"/>
      <c r="E29" s="475"/>
      <c r="F29" s="529">
        <v>16</v>
      </c>
      <c r="G29" s="500" t="s">
        <v>1024</v>
      </c>
      <c r="H29" s="530">
        <v>330000</v>
      </c>
      <c r="I29" s="530"/>
      <c r="J29" s="531" t="s">
        <v>37</v>
      </c>
      <c r="K29" s="558" t="s">
        <v>35</v>
      </c>
    </row>
    <row r="30" spans="1:11" ht="39.950000000000003" customHeight="1">
      <c r="A30" s="529"/>
      <c r="B30" s="472"/>
      <c r="C30" s="473"/>
      <c r="D30" s="672"/>
      <c r="E30" s="475"/>
      <c r="F30" s="529">
        <v>17</v>
      </c>
      <c r="G30" s="500" t="s">
        <v>1025</v>
      </c>
      <c r="H30" s="532">
        <v>385000</v>
      </c>
      <c r="I30" s="532"/>
      <c r="J30" s="531" t="s">
        <v>37</v>
      </c>
      <c r="K30" s="558" t="s">
        <v>35</v>
      </c>
    </row>
    <row r="31" spans="1:11" ht="39.950000000000003" customHeight="1">
      <c r="A31" s="529"/>
      <c r="B31" s="472"/>
      <c r="C31" s="473"/>
      <c r="D31" s="672"/>
      <c r="E31" s="475"/>
      <c r="F31" s="529">
        <v>18</v>
      </c>
      <c r="G31" s="500" t="s">
        <v>1124</v>
      </c>
      <c r="H31" s="532">
        <f>3850000</f>
        <v>3850000</v>
      </c>
      <c r="I31" s="532"/>
      <c r="J31" s="531" t="s">
        <v>37</v>
      </c>
      <c r="K31" s="558" t="s">
        <v>35</v>
      </c>
    </row>
    <row r="32" spans="1:11" ht="39.950000000000003" customHeight="1">
      <c r="A32" s="529"/>
      <c r="B32" s="472"/>
      <c r="C32" s="473"/>
      <c r="D32" s="672"/>
      <c r="E32" s="475"/>
      <c r="F32" s="529">
        <v>19</v>
      </c>
      <c r="G32" s="500" t="s">
        <v>1026</v>
      </c>
      <c r="H32" s="532">
        <f>660000</f>
        <v>660000</v>
      </c>
      <c r="I32" s="532"/>
      <c r="J32" s="531" t="s">
        <v>37</v>
      </c>
      <c r="K32" s="558" t="s">
        <v>35</v>
      </c>
    </row>
    <row r="33" spans="1:11" ht="39.950000000000003" customHeight="1">
      <c r="A33" s="529"/>
      <c r="B33" s="472"/>
      <c r="C33" s="473"/>
      <c r="D33" s="672"/>
      <c r="E33" s="475"/>
      <c r="F33" s="529">
        <v>20</v>
      </c>
      <c r="G33" s="500" t="s">
        <v>1059</v>
      </c>
      <c r="H33" s="532">
        <f>37120000</f>
        <v>37120000</v>
      </c>
      <c r="I33" s="532"/>
      <c r="J33" s="531" t="s">
        <v>37</v>
      </c>
      <c r="K33" s="558" t="s">
        <v>35</v>
      </c>
    </row>
    <row r="34" spans="1:11" ht="39.950000000000003" customHeight="1">
      <c r="A34" s="529"/>
      <c r="B34" s="472"/>
      <c r="C34" s="473"/>
      <c r="D34" s="672"/>
      <c r="E34" s="475"/>
      <c r="F34" s="529">
        <v>21</v>
      </c>
      <c r="G34" s="533" t="s">
        <v>1034</v>
      </c>
      <c r="H34" s="532">
        <v>2788500</v>
      </c>
      <c r="I34" s="532"/>
      <c r="J34" s="531" t="s">
        <v>37</v>
      </c>
      <c r="K34" s="558" t="s">
        <v>35</v>
      </c>
    </row>
    <row r="35" spans="1:11" ht="39.950000000000003" customHeight="1">
      <c r="A35" s="529"/>
      <c r="B35" s="472"/>
      <c r="C35" s="473"/>
      <c r="D35" s="672"/>
      <c r="E35" s="475"/>
      <c r="F35" s="529">
        <v>22</v>
      </c>
      <c r="G35" s="533" t="s">
        <v>1027</v>
      </c>
      <c r="H35" s="532">
        <f>7081800</f>
        <v>7081800</v>
      </c>
      <c r="I35" s="532"/>
      <c r="J35" s="531" t="s">
        <v>37</v>
      </c>
      <c r="K35" s="558" t="s">
        <v>35</v>
      </c>
    </row>
    <row r="36" spans="1:11" ht="39.950000000000003" customHeight="1">
      <c r="A36" s="529"/>
      <c r="B36" s="472"/>
      <c r="C36" s="473"/>
      <c r="D36" s="672"/>
      <c r="E36" s="475"/>
      <c r="F36" s="529">
        <v>23</v>
      </c>
      <c r="G36" s="533" t="s">
        <v>1111</v>
      </c>
      <c r="H36" s="532">
        <f>22000*7</f>
        <v>154000</v>
      </c>
      <c r="I36" s="532"/>
      <c r="J36" s="531" t="s">
        <v>37</v>
      </c>
      <c r="K36" s="558" t="s">
        <v>35</v>
      </c>
    </row>
    <row r="37" spans="1:11" ht="39.950000000000003" customHeight="1">
      <c r="A37" s="529"/>
      <c r="B37" s="472"/>
      <c r="C37" s="473"/>
      <c r="D37" s="499"/>
      <c r="E37" s="475"/>
      <c r="F37" s="529">
        <v>24</v>
      </c>
      <c r="G37" s="500" t="s">
        <v>152</v>
      </c>
      <c r="H37" s="532">
        <f>209850+177530</f>
        <v>387380</v>
      </c>
      <c r="I37" s="532"/>
      <c r="J37" s="531" t="s">
        <v>37</v>
      </c>
      <c r="K37" s="558" t="s">
        <v>35</v>
      </c>
    </row>
    <row r="38" spans="1:11" ht="39.950000000000003" customHeight="1">
      <c r="A38" s="529"/>
      <c r="B38" s="472"/>
      <c r="C38" s="473"/>
      <c r="D38" s="499"/>
      <c r="E38" s="475"/>
      <c r="F38" s="529">
        <v>25</v>
      </c>
      <c r="G38" s="500" t="s">
        <v>1030</v>
      </c>
      <c r="H38" s="532">
        <v>250000</v>
      </c>
      <c r="I38" s="532"/>
      <c r="J38" s="531" t="s">
        <v>37</v>
      </c>
      <c r="K38" s="558" t="s">
        <v>35</v>
      </c>
    </row>
    <row r="39" spans="1:11" ht="39.950000000000003" customHeight="1">
      <c r="A39" s="529"/>
      <c r="B39" s="472"/>
      <c r="C39" s="473"/>
      <c r="D39" s="499"/>
      <c r="E39" s="475"/>
      <c r="F39" s="529">
        <v>26</v>
      </c>
      <c r="G39" s="500" t="s">
        <v>1084</v>
      </c>
      <c r="H39" s="532">
        <f>1945000/6</f>
        <v>324166.66666666669</v>
      </c>
      <c r="I39" s="532"/>
      <c r="J39" s="531" t="s">
        <v>37</v>
      </c>
      <c r="K39" s="558" t="s">
        <v>35</v>
      </c>
    </row>
    <row r="40" spans="1:11" ht="39.950000000000003" customHeight="1">
      <c r="A40" s="529"/>
      <c r="B40" s="472"/>
      <c r="C40" s="473"/>
      <c r="D40" s="499"/>
      <c r="E40" s="475"/>
      <c r="F40" s="529">
        <v>27</v>
      </c>
      <c r="G40" s="500" t="s">
        <v>1132</v>
      </c>
      <c r="H40" s="532">
        <v>471452</v>
      </c>
      <c r="I40" s="532"/>
      <c r="J40" s="531" t="s">
        <v>37</v>
      </c>
      <c r="K40" s="558" t="s">
        <v>35</v>
      </c>
    </row>
    <row r="41" spans="1:11" ht="39.950000000000003" customHeight="1">
      <c r="A41" s="529"/>
      <c r="B41" s="472"/>
      <c r="C41" s="473"/>
      <c r="D41" s="499"/>
      <c r="E41" s="475"/>
      <c r="F41" s="529">
        <v>28</v>
      </c>
      <c r="G41" s="500" t="s">
        <v>1074</v>
      </c>
      <c r="H41" s="532">
        <f>77300</f>
        <v>77300</v>
      </c>
      <c r="I41" s="532"/>
      <c r="J41" s="531" t="s">
        <v>37</v>
      </c>
      <c r="K41" s="558" t="s">
        <v>35</v>
      </c>
    </row>
    <row r="42" spans="1:11" ht="39.950000000000003" customHeight="1">
      <c r="A42" s="529"/>
      <c r="B42" s="472"/>
      <c r="C42" s="473"/>
      <c r="D42" s="499"/>
      <c r="E42" s="475"/>
      <c r="F42" s="529">
        <v>29</v>
      </c>
      <c r="G42" s="500" t="s">
        <v>1075</v>
      </c>
      <c r="H42" s="532">
        <f>24000</f>
        <v>24000</v>
      </c>
      <c r="I42" s="532"/>
      <c r="J42" s="531" t="s">
        <v>37</v>
      </c>
      <c r="K42" s="558" t="s">
        <v>35</v>
      </c>
    </row>
    <row r="43" spans="1:11" ht="39.950000000000003" customHeight="1">
      <c r="A43" s="529"/>
      <c r="B43" s="472"/>
      <c r="C43" s="473"/>
      <c r="D43" s="499"/>
      <c r="E43" s="475"/>
      <c r="F43" s="529">
        <v>30</v>
      </c>
      <c r="G43" s="500" t="s">
        <v>1076</v>
      </c>
      <c r="H43" s="532">
        <f>15000</f>
        <v>15000</v>
      </c>
      <c r="I43" s="532"/>
      <c r="J43" s="531" t="s">
        <v>37</v>
      </c>
      <c r="K43" s="558" t="s">
        <v>35</v>
      </c>
    </row>
    <row r="44" spans="1:11" ht="39.950000000000003" customHeight="1">
      <c r="A44" s="529"/>
      <c r="B44" s="472"/>
      <c r="C44" s="473"/>
      <c r="D44" s="499"/>
      <c r="E44" s="475"/>
      <c r="F44" s="529">
        <v>31</v>
      </c>
      <c r="G44" s="500" t="s">
        <v>1077</v>
      </c>
      <c r="H44" s="532">
        <f>61900+56200</f>
        <v>118100</v>
      </c>
      <c r="I44" s="532"/>
      <c r="J44" s="531" t="s">
        <v>37</v>
      </c>
      <c r="K44" s="715" t="s">
        <v>37</v>
      </c>
    </row>
    <row r="45" spans="1:11" ht="39.950000000000003" customHeight="1">
      <c r="A45" s="529"/>
      <c r="B45" s="472"/>
      <c r="C45" s="473"/>
      <c r="D45" s="499"/>
      <c r="E45" s="475"/>
      <c r="F45" s="529">
        <v>32</v>
      </c>
      <c r="G45" s="500" t="s">
        <v>1078</v>
      </c>
      <c r="H45" s="532">
        <f>31600</f>
        <v>31600</v>
      </c>
      <c r="I45" s="532"/>
      <c r="J45" s="531" t="s">
        <v>37</v>
      </c>
      <c r="K45" s="715" t="s">
        <v>37</v>
      </c>
    </row>
    <row r="46" spans="1:11" ht="39.950000000000003" customHeight="1">
      <c r="A46" s="529"/>
      <c r="B46" s="472"/>
      <c r="C46" s="473"/>
      <c r="D46" s="673"/>
      <c r="E46" s="475"/>
      <c r="F46" s="529">
        <v>33</v>
      </c>
      <c r="G46" s="500" t="s">
        <v>1079</v>
      </c>
      <c r="H46" s="532">
        <f>58400</f>
        <v>58400</v>
      </c>
      <c r="I46" s="532"/>
      <c r="J46" s="531" t="s">
        <v>37</v>
      </c>
      <c r="K46" s="715" t="s">
        <v>37</v>
      </c>
    </row>
    <row r="47" spans="1:11" ht="39.950000000000003" customHeight="1">
      <c r="A47" s="529"/>
      <c r="B47" s="472"/>
      <c r="C47" s="473"/>
      <c r="D47" s="673"/>
      <c r="E47" s="475"/>
      <c r="F47" s="529">
        <v>34</v>
      </c>
      <c r="G47" s="500" t="s">
        <v>1090</v>
      </c>
      <c r="H47" s="532">
        <f>15700</f>
        <v>15700</v>
      </c>
      <c r="I47" s="532"/>
      <c r="J47" s="531" t="s">
        <v>37</v>
      </c>
      <c r="K47" s="715" t="s">
        <v>37</v>
      </c>
    </row>
    <row r="48" spans="1:11" ht="39.950000000000003" customHeight="1">
      <c r="A48" s="529"/>
      <c r="B48" s="472"/>
      <c r="C48" s="473"/>
      <c r="D48" s="673"/>
      <c r="E48" s="475"/>
      <c r="F48" s="529">
        <v>35</v>
      </c>
      <c r="G48" s="500" t="s">
        <v>1100</v>
      </c>
      <c r="H48" s="532">
        <f>22830</f>
        <v>22830</v>
      </c>
      <c r="I48" s="532"/>
      <c r="J48" s="531" t="s">
        <v>37</v>
      </c>
      <c r="K48" s="715" t="s">
        <v>37</v>
      </c>
    </row>
    <row r="49" spans="1:11" ht="39.950000000000003" customHeight="1">
      <c r="A49" s="529"/>
      <c r="B49" s="472"/>
      <c r="C49" s="473"/>
      <c r="D49" s="674"/>
      <c r="E49" s="475"/>
      <c r="F49" s="529">
        <v>36</v>
      </c>
      <c r="G49" s="500" t="s">
        <v>1115</v>
      </c>
      <c r="H49" s="532">
        <f>40000</f>
        <v>40000</v>
      </c>
      <c r="I49" s="532"/>
      <c r="J49" s="531" t="s">
        <v>37</v>
      </c>
      <c r="K49" s="715" t="s">
        <v>37</v>
      </c>
    </row>
    <row r="50" spans="1:11" ht="39.950000000000003" customHeight="1">
      <c r="A50" s="529"/>
      <c r="B50" s="472"/>
      <c r="C50" s="473"/>
      <c r="D50" s="674"/>
      <c r="E50" s="475"/>
      <c r="F50" s="529">
        <v>37</v>
      </c>
      <c r="G50" s="500" t="s">
        <v>1113</v>
      </c>
      <c r="H50" s="532">
        <v>95000</v>
      </c>
      <c r="I50" s="532"/>
      <c r="J50" s="531" t="s">
        <v>37</v>
      </c>
      <c r="K50" s="715" t="s">
        <v>37</v>
      </c>
    </row>
    <row r="51" spans="1:11" ht="39.950000000000003" customHeight="1">
      <c r="A51" s="529"/>
      <c r="B51" s="472"/>
      <c r="C51" s="473"/>
      <c r="D51" s="499"/>
      <c r="E51" s="475"/>
      <c r="F51" s="529">
        <v>38</v>
      </c>
      <c r="G51" s="500" t="s">
        <v>1114</v>
      </c>
      <c r="H51" s="532">
        <f>29900</f>
        <v>29900</v>
      </c>
      <c r="I51" s="532"/>
      <c r="J51" s="531" t="s">
        <v>37</v>
      </c>
      <c r="K51" s="715" t="s">
        <v>37</v>
      </c>
    </row>
    <row r="52" spans="1:11" ht="39.950000000000003" customHeight="1" thickBot="1">
      <c r="A52" s="529"/>
      <c r="B52" s="472"/>
      <c r="C52" s="473"/>
      <c r="D52" s="499"/>
      <c r="E52" s="475"/>
      <c r="F52" s="535">
        <v>39</v>
      </c>
      <c r="G52" s="506" t="s">
        <v>1118</v>
      </c>
      <c r="H52" s="538">
        <v>15000</v>
      </c>
      <c r="I52" s="538"/>
      <c r="J52" s="539" t="s">
        <v>37</v>
      </c>
      <c r="K52" s="748" t="s">
        <v>37</v>
      </c>
    </row>
    <row r="53" spans="1:11" ht="39.950000000000003" customHeight="1" thickBot="1">
      <c r="A53" s="513"/>
      <c r="B53" s="514" t="s">
        <v>72</v>
      </c>
      <c r="C53" s="515">
        <f>SUM(C14:C52)</f>
        <v>329955067</v>
      </c>
      <c r="D53" s="516"/>
      <c r="E53" s="517"/>
      <c r="F53" s="752"/>
      <c r="G53" s="514" t="s">
        <v>72</v>
      </c>
      <c r="H53" s="519">
        <f>SUM(H14:H52)</f>
        <v>184214641.66666666</v>
      </c>
      <c r="I53" s="519"/>
      <c r="J53" s="520" t="s">
        <v>73</v>
      </c>
      <c r="K53" s="521"/>
    </row>
    <row r="54" spans="1:11" ht="39.950000000000003" customHeight="1" thickBot="1">
      <c r="A54" s="864" t="s">
        <v>74</v>
      </c>
      <c r="B54" s="865"/>
      <c r="C54" s="865"/>
      <c r="D54" s="865"/>
      <c r="E54" s="865"/>
      <c r="F54" s="865"/>
      <c r="G54" s="865"/>
      <c r="H54" s="745"/>
      <c r="I54" s="766"/>
      <c r="J54" s="739"/>
      <c r="K54" s="740"/>
    </row>
    <row r="55" spans="1:11" ht="39.950000000000003" customHeight="1" thickBot="1">
      <c r="A55" s="858" t="s">
        <v>1122</v>
      </c>
      <c r="B55" s="859"/>
      <c r="C55" s="859"/>
      <c r="D55" s="859"/>
      <c r="E55" s="860"/>
      <c r="F55" s="858" t="s">
        <v>1123</v>
      </c>
      <c r="G55" s="859"/>
      <c r="H55" s="859"/>
      <c r="I55" s="859"/>
      <c r="J55" s="859"/>
      <c r="K55" s="860"/>
    </row>
    <row r="56" spans="1:11" ht="39.950000000000003" customHeight="1" thickBot="1">
      <c r="A56" s="459" t="s">
        <v>24</v>
      </c>
      <c r="B56" s="460" t="s">
        <v>25</v>
      </c>
      <c r="C56" s="461" t="s">
        <v>108</v>
      </c>
      <c r="D56" s="461" t="s">
        <v>27</v>
      </c>
      <c r="E56" s="744" t="s">
        <v>10</v>
      </c>
      <c r="F56" s="459" t="s">
        <v>24</v>
      </c>
      <c r="G56" s="460" t="s">
        <v>25</v>
      </c>
      <c r="H56" s="461" t="s">
        <v>108</v>
      </c>
      <c r="I56" s="461" t="s">
        <v>1138</v>
      </c>
      <c r="J56" s="461" t="s">
        <v>655</v>
      </c>
      <c r="K56" s="744" t="s">
        <v>10</v>
      </c>
    </row>
    <row r="57" spans="1:11" ht="39.950000000000003" customHeight="1">
      <c r="A57" s="524">
        <v>1</v>
      </c>
      <c r="B57" s="487" t="s">
        <v>1129</v>
      </c>
      <c r="C57" s="488">
        <v>266222550</v>
      </c>
      <c r="D57" s="705" t="s">
        <v>1181</v>
      </c>
      <c r="E57" s="490" t="s">
        <v>1040</v>
      </c>
      <c r="F57" s="524">
        <v>1</v>
      </c>
      <c r="G57" s="500" t="s">
        <v>1204</v>
      </c>
      <c r="H57" s="501">
        <v>3500000</v>
      </c>
      <c r="I57" s="501"/>
      <c r="J57" s="503">
        <v>44409</v>
      </c>
      <c r="K57" s="555" t="s">
        <v>1133</v>
      </c>
    </row>
    <row r="58" spans="1:11" ht="39.950000000000003" customHeight="1">
      <c r="A58" s="529">
        <v>2</v>
      </c>
      <c r="B58" s="472" t="s">
        <v>1182</v>
      </c>
      <c r="C58" s="473">
        <v>9900000</v>
      </c>
      <c r="D58" s="705" t="s">
        <v>1181</v>
      </c>
      <c r="E58" s="475" t="s">
        <v>35</v>
      </c>
      <c r="F58" s="529">
        <v>2</v>
      </c>
      <c r="G58" s="500" t="s">
        <v>151</v>
      </c>
      <c r="H58" s="501">
        <f>4160000+8620</f>
        <v>4168620</v>
      </c>
      <c r="I58" s="501"/>
      <c r="J58" s="503" t="s">
        <v>1134</v>
      </c>
      <c r="K58" s="607" t="s">
        <v>253</v>
      </c>
    </row>
    <row r="59" spans="1:11" ht="39.950000000000003" customHeight="1">
      <c r="A59" s="529">
        <v>3</v>
      </c>
      <c r="B59" s="472" t="s">
        <v>1200</v>
      </c>
      <c r="C59" s="473">
        <v>99000000</v>
      </c>
      <c r="D59" s="705" t="s">
        <v>1201</v>
      </c>
      <c r="E59" s="475" t="s">
        <v>35</v>
      </c>
      <c r="F59" s="529">
        <v>3</v>
      </c>
      <c r="G59" s="500" t="s">
        <v>1190</v>
      </c>
      <c r="H59" s="561">
        <v>1000000</v>
      </c>
      <c r="I59" s="561"/>
      <c r="J59" s="576">
        <v>44410</v>
      </c>
      <c r="K59" s="497" t="s">
        <v>890</v>
      </c>
    </row>
    <row r="60" spans="1:11" ht="39.950000000000003" customHeight="1">
      <c r="A60" s="529">
        <v>4</v>
      </c>
      <c r="B60" s="472" t="s">
        <v>1101</v>
      </c>
      <c r="C60" s="473">
        <v>43560000</v>
      </c>
      <c r="D60" s="705" t="s">
        <v>1093</v>
      </c>
      <c r="E60" s="490" t="s">
        <v>824</v>
      </c>
      <c r="F60" s="529">
        <v>4</v>
      </c>
      <c r="G60" s="500" t="s">
        <v>1135</v>
      </c>
      <c r="H60" s="561">
        <v>307680</v>
      </c>
      <c r="I60" s="561"/>
      <c r="J60" s="576">
        <v>44413</v>
      </c>
      <c r="K60" s="497" t="s">
        <v>890</v>
      </c>
    </row>
    <row r="61" spans="1:11" ht="39.950000000000003" customHeight="1">
      <c r="A61" s="529">
        <v>5</v>
      </c>
      <c r="B61" s="472" t="s">
        <v>1171</v>
      </c>
      <c r="C61" s="488">
        <v>15400000</v>
      </c>
      <c r="D61" s="717" t="s">
        <v>1173</v>
      </c>
      <c r="E61" s="475" t="s">
        <v>1040</v>
      </c>
      <c r="F61" s="529">
        <v>5</v>
      </c>
      <c r="G61" s="500" t="s">
        <v>1136</v>
      </c>
      <c r="H61" s="561">
        <v>532200</v>
      </c>
      <c r="I61" s="561"/>
      <c r="J61" s="676" t="s">
        <v>35</v>
      </c>
      <c r="K61" s="497" t="s">
        <v>35</v>
      </c>
    </row>
    <row r="62" spans="1:11" ht="39.950000000000003" customHeight="1">
      <c r="A62" s="529">
        <v>6</v>
      </c>
      <c r="B62" s="487" t="s">
        <v>1112</v>
      </c>
      <c r="C62" s="488">
        <v>79200000</v>
      </c>
      <c r="D62" s="717" t="s">
        <v>35</v>
      </c>
      <c r="E62" s="490"/>
      <c r="F62" s="529">
        <v>6</v>
      </c>
      <c r="G62" s="534" t="s">
        <v>1137</v>
      </c>
      <c r="H62" s="561">
        <v>12500</v>
      </c>
      <c r="I62" s="561"/>
      <c r="J62" s="676" t="s">
        <v>35</v>
      </c>
      <c r="K62" s="497" t="s">
        <v>423</v>
      </c>
    </row>
    <row r="63" spans="1:11" ht="39.950000000000003" customHeight="1">
      <c r="A63" s="529">
        <v>7</v>
      </c>
      <c r="B63" s="472" t="s">
        <v>1037</v>
      </c>
      <c r="C63" s="716">
        <v>47300000</v>
      </c>
      <c r="D63" s="717" t="s">
        <v>35</v>
      </c>
      <c r="E63" s="475"/>
      <c r="F63" s="529">
        <v>7</v>
      </c>
      <c r="G63" s="500" t="s">
        <v>895</v>
      </c>
      <c r="H63" s="530">
        <v>44000</v>
      </c>
      <c r="I63" s="561"/>
      <c r="J63" s="576">
        <v>44415</v>
      </c>
      <c r="K63" s="477" t="s">
        <v>887</v>
      </c>
    </row>
    <row r="64" spans="1:11" ht="39.950000000000003" customHeight="1">
      <c r="A64" s="529">
        <v>8</v>
      </c>
      <c r="B64" s="472" t="s">
        <v>1172</v>
      </c>
      <c r="C64" s="473">
        <v>10670000</v>
      </c>
      <c r="D64" s="717" t="s">
        <v>35</v>
      </c>
      <c r="E64" s="475"/>
      <c r="F64" s="529">
        <v>8</v>
      </c>
      <c r="G64" s="534" t="s">
        <v>1139</v>
      </c>
      <c r="H64" s="561">
        <v>422584425</v>
      </c>
      <c r="I64" s="708">
        <v>367335795</v>
      </c>
      <c r="J64" s="676">
        <v>44418</v>
      </c>
      <c r="K64" s="497" t="s">
        <v>35</v>
      </c>
    </row>
    <row r="65" spans="1:11" ht="39.950000000000003" customHeight="1">
      <c r="A65" s="529">
        <v>9</v>
      </c>
      <c r="B65" s="472" t="s">
        <v>1098</v>
      </c>
      <c r="C65" s="473">
        <v>880000</v>
      </c>
      <c r="D65" s="717" t="s">
        <v>35</v>
      </c>
      <c r="E65" s="475"/>
      <c r="F65" s="529">
        <v>9</v>
      </c>
      <c r="G65" s="500" t="s">
        <v>1141</v>
      </c>
      <c r="H65" s="532">
        <v>8333333</v>
      </c>
      <c r="I65" s="711">
        <f>H65-(H65*3.3%)</f>
        <v>8058333.0109999999</v>
      </c>
      <c r="J65" s="675" t="s">
        <v>35</v>
      </c>
      <c r="K65" s="497" t="s">
        <v>35</v>
      </c>
    </row>
    <row r="66" spans="1:11" ht="39.950000000000003" customHeight="1">
      <c r="A66" s="529">
        <v>10</v>
      </c>
      <c r="B66" s="472" t="s">
        <v>1095</v>
      </c>
      <c r="C66" s="473">
        <v>82500000</v>
      </c>
      <c r="D66" s="674" t="s">
        <v>1216</v>
      </c>
      <c r="E66" s="475"/>
      <c r="F66" s="529">
        <v>10</v>
      </c>
      <c r="G66" s="500" t="s">
        <v>1140</v>
      </c>
      <c r="H66" s="532">
        <v>5000000</v>
      </c>
      <c r="I66" s="711">
        <v>5000000</v>
      </c>
      <c r="J66" s="675" t="s">
        <v>35</v>
      </c>
      <c r="K66" s="477" t="s">
        <v>900</v>
      </c>
    </row>
    <row r="67" spans="1:11" ht="39.950000000000003" customHeight="1">
      <c r="A67" s="529">
        <v>11</v>
      </c>
      <c r="B67" s="487" t="s">
        <v>1104</v>
      </c>
      <c r="C67" s="488">
        <v>6187500</v>
      </c>
      <c r="D67" s="717" t="s">
        <v>1107</v>
      </c>
      <c r="E67" s="475"/>
      <c r="F67" s="529">
        <v>11</v>
      </c>
      <c r="G67" s="500" t="s">
        <v>1142</v>
      </c>
      <c r="H67" s="501">
        <v>4000000</v>
      </c>
      <c r="I67" s="711">
        <f t="shared" ref="I67:I89" si="0">H67-(H67*3.3%)</f>
        <v>3868000</v>
      </c>
      <c r="J67" s="675" t="s">
        <v>35</v>
      </c>
      <c r="K67" s="497"/>
    </row>
    <row r="68" spans="1:11" ht="39.950000000000003" customHeight="1">
      <c r="A68" s="529">
        <v>12</v>
      </c>
      <c r="B68" s="472" t="s">
        <v>1176</v>
      </c>
      <c r="C68" s="473">
        <f>37500000*1.1</f>
        <v>41250000</v>
      </c>
      <c r="D68" s="672" t="s">
        <v>1178</v>
      </c>
      <c r="E68" s="475"/>
      <c r="F68" s="529">
        <v>12</v>
      </c>
      <c r="G68" s="500" t="s">
        <v>1143</v>
      </c>
      <c r="H68" s="501">
        <v>4900000</v>
      </c>
      <c r="I68" s="708">
        <f t="shared" si="0"/>
        <v>4738300</v>
      </c>
      <c r="J68" s="675" t="s">
        <v>35</v>
      </c>
      <c r="K68" s="477"/>
    </row>
    <row r="69" spans="1:11" ht="39.950000000000003" customHeight="1">
      <c r="A69" s="529">
        <v>13</v>
      </c>
      <c r="B69" s="472" t="s">
        <v>1177</v>
      </c>
      <c r="C69" s="473">
        <v>46376567</v>
      </c>
      <c r="D69" s="672" t="s">
        <v>35</v>
      </c>
      <c r="E69" s="490"/>
      <c r="F69" s="529">
        <v>13</v>
      </c>
      <c r="G69" s="533" t="s">
        <v>1169</v>
      </c>
      <c r="H69" s="532">
        <f>7500000</f>
        <v>7500000</v>
      </c>
      <c r="I69" s="708">
        <f t="shared" si="0"/>
        <v>7252500</v>
      </c>
      <c r="J69" s="675" t="s">
        <v>35</v>
      </c>
      <c r="K69" s="477"/>
    </row>
    <row r="70" spans="1:11" ht="39.950000000000003" customHeight="1">
      <c r="A70" s="529">
        <v>14</v>
      </c>
      <c r="B70" s="472" t="s">
        <v>1179</v>
      </c>
      <c r="C70" s="473">
        <v>6270000</v>
      </c>
      <c r="D70" s="672" t="s">
        <v>35</v>
      </c>
      <c r="E70" s="490"/>
      <c r="F70" s="529">
        <v>14</v>
      </c>
      <c r="G70" s="533" t="s">
        <v>1197</v>
      </c>
      <c r="H70" s="532">
        <f>967742</f>
        <v>967742</v>
      </c>
      <c r="I70" s="708">
        <f t="shared" si="0"/>
        <v>935806.51399999997</v>
      </c>
      <c r="J70" s="675" t="s">
        <v>35</v>
      </c>
      <c r="K70" s="781" t="s">
        <v>1198</v>
      </c>
    </row>
    <row r="71" spans="1:11" ht="39.950000000000003" customHeight="1">
      <c r="A71" s="529">
        <v>15</v>
      </c>
      <c r="B71" s="487" t="s">
        <v>1105</v>
      </c>
      <c r="C71" s="488">
        <v>13785057</v>
      </c>
      <c r="D71" s="717" t="s">
        <v>1108</v>
      </c>
      <c r="E71" s="475"/>
      <c r="F71" s="529">
        <v>15</v>
      </c>
      <c r="G71" s="533" t="s">
        <v>1158</v>
      </c>
      <c r="H71" s="532">
        <v>6500000</v>
      </c>
      <c r="I71" s="708">
        <f t="shared" si="0"/>
        <v>6285500</v>
      </c>
      <c r="J71" s="675" t="s">
        <v>35</v>
      </c>
      <c r="K71" s="477" t="s">
        <v>1163</v>
      </c>
    </row>
    <row r="72" spans="1:11" ht="39.950000000000003" customHeight="1">
      <c r="A72" s="529">
        <v>16</v>
      </c>
      <c r="B72" s="472" t="s">
        <v>1199</v>
      </c>
      <c r="C72" s="473">
        <v>22110000</v>
      </c>
      <c r="D72" s="672" t="s">
        <v>1202</v>
      </c>
      <c r="E72" s="475"/>
      <c r="F72" s="529">
        <v>16</v>
      </c>
      <c r="G72" s="533" t="s">
        <v>1159</v>
      </c>
      <c r="H72" s="532">
        <v>5900000</v>
      </c>
      <c r="I72" s="708">
        <f t="shared" si="0"/>
        <v>5705300</v>
      </c>
      <c r="J72" s="675" t="s">
        <v>35</v>
      </c>
      <c r="K72" s="477" t="s">
        <v>1163</v>
      </c>
    </row>
    <row r="73" spans="1:11" ht="39.950000000000003" customHeight="1">
      <c r="A73" s="529">
        <v>17</v>
      </c>
      <c r="B73" s="472" t="s">
        <v>1102</v>
      </c>
      <c r="C73" s="473">
        <v>23100000</v>
      </c>
      <c r="D73" s="672" t="s">
        <v>1103</v>
      </c>
      <c r="E73" s="475"/>
      <c r="F73" s="529">
        <v>17</v>
      </c>
      <c r="G73" s="533" t="s">
        <v>1160</v>
      </c>
      <c r="H73" s="532">
        <v>4800000</v>
      </c>
      <c r="I73" s="708">
        <f t="shared" si="0"/>
        <v>4641600</v>
      </c>
      <c r="J73" s="675" t="s">
        <v>35</v>
      </c>
      <c r="K73" s="477" t="s">
        <v>1163</v>
      </c>
    </row>
    <row r="74" spans="1:11" ht="39.950000000000003" customHeight="1">
      <c r="A74" s="529">
        <v>18</v>
      </c>
      <c r="B74" s="487" t="s">
        <v>1128</v>
      </c>
      <c r="C74" s="488">
        <v>6187500</v>
      </c>
      <c r="D74" s="672" t="s">
        <v>1175</v>
      </c>
      <c r="E74" s="475"/>
      <c r="F74" s="529">
        <v>18</v>
      </c>
      <c r="G74" s="533" t="s">
        <v>1162</v>
      </c>
      <c r="H74" s="532">
        <v>7000000</v>
      </c>
      <c r="I74" s="708">
        <f t="shared" si="0"/>
        <v>6769000</v>
      </c>
      <c r="J74" s="675" t="s">
        <v>35</v>
      </c>
      <c r="K74" s="477" t="s">
        <v>1163</v>
      </c>
    </row>
    <row r="75" spans="1:11" ht="39.950000000000003" customHeight="1">
      <c r="A75" s="529">
        <v>19</v>
      </c>
      <c r="B75" s="472" t="s">
        <v>1106</v>
      </c>
      <c r="C75" s="473">
        <v>12416316</v>
      </c>
      <c r="D75" s="672" t="s">
        <v>1174</v>
      </c>
      <c r="E75" s="475"/>
      <c r="F75" s="529">
        <v>19</v>
      </c>
      <c r="G75" s="533" t="s">
        <v>1164</v>
      </c>
      <c r="H75" s="532">
        <v>6200000</v>
      </c>
      <c r="I75" s="708">
        <f t="shared" si="0"/>
        <v>5995400</v>
      </c>
      <c r="J75" s="675" t="s">
        <v>35</v>
      </c>
      <c r="K75" s="477"/>
    </row>
    <row r="76" spans="1:11" ht="39.950000000000003" customHeight="1">
      <c r="A76" s="529">
        <v>20</v>
      </c>
      <c r="B76" s="472" t="s">
        <v>1094</v>
      </c>
      <c r="C76" s="473">
        <v>10725000</v>
      </c>
      <c r="D76" s="672" t="s">
        <v>1215</v>
      </c>
      <c r="E76" s="475"/>
      <c r="F76" s="529">
        <v>20</v>
      </c>
      <c r="G76" s="533" t="s">
        <v>1167</v>
      </c>
      <c r="H76" s="532">
        <v>3354839</v>
      </c>
      <c r="I76" s="708">
        <f t="shared" si="0"/>
        <v>3244129.3130000001</v>
      </c>
      <c r="J76" s="675" t="s">
        <v>35</v>
      </c>
      <c r="K76" s="477" t="s">
        <v>1165</v>
      </c>
    </row>
    <row r="77" spans="1:11" ht="39.950000000000003" customHeight="1">
      <c r="A77" s="529">
        <v>21</v>
      </c>
      <c r="B77" s="472" t="s">
        <v>1180</v>
      </c>
      <c r="C77" s="716">
        <f>4400000</f>
        <v>4400000</v>
      </c>
      <c r="D77" s="672" t="s">
        <v>140</v>
      </c>
      <c r="E77" s="490"/>
      <c r="F77" s="529">
        <v>21</v>
      </c>
      <c r="G77" s="533" t="s">
        <v>1168</v>
      </c>
      <c r="H77" s="532">
        <v>2809677</v>
      </c>
      <c r="I77" s="708">
        <f t="shared" si="0"/>
        <v>2716957.659</v>
      </c>
      <c r="J77" s="675" t="s">
        <v>35</v>
      </c>
      <c r="K77" s="477" t="s">
        <v>1166</v>
      </c>
    </row>
    <row r="78" spans="1:11" ht="39.950000000000003" customHeight="1">
      <c r="A78" s="529">
        <v>22</v>
      </c>
      <c r="B78" s="472" t="s">
        <v>1196</v>
      </c>
      <c r="C78" s="473">
        <v>6305000</v>
      </c>
      <c r="D78" s="672" t="s">
        <v>140</v>
      </c>
      <c r="E78" s="475"/>
      <c r="F78" s="529">
        <v>22</v>
      </c>
      <c r="G78" s="500" t="s">
        <v>1156</v>
      </c>
      <c r="H78" s="501">
        <v>6000000</v>
      </c>
      <c r="I78" s="708">
        <f t="shared" si="0"/>
        <v>5802000</v>
      </c>
      <c r="J78" s="675" t="s">
        <v>35</v>
      </c>
      <c r="K78" s="511"/>
    </row>
    <row r="79" spans="1:11" ht="39.950000000000003" customHeight="1">
      <c r="A79" s="529"/>
      <c r="B79" s="472"/>
      <c r="C79" s="473"/>
      <c r="D79" s="672"/>
      <c r="E79" s="475"/>
      <c r="F79" s="529">
        <v>23</v>
      </c>
      <c r="G79" s="500" t="s">
        <v>1144</v>
      </c>
      <c r="H79" s="501">
        <v>6800000</v>
      </c>
      <c r="I79" s="708">
        <f t="shared" si="0"/>
        <v>6575600</v>
      </c>
      <c r="J79" s="675" t="s">
        <v>35</v>
      </c>
      <c r="K79" s="477"/>
    </row>
    <row r="80" spans="1:11" ht="39.950000000000003" customHeight="1">
      <c r="A80" s="529"/>
      <c r="B80" s="472"/>
      <c r="C80" s="473"/>
      <c r="D80" s="672"/>
      <c r="E80" s="475"/>
      <c r="F80" s="529">
        <v>24</v>
      </c>
      <c r="G80" s="500" t="s">
        <v>1194</v>
      </c>
      <c r="H80" s="501">
        <f>438710</f>
        <v>438710</v>
      </c>
      <c r="I80" s="708">
        <f t="shared" si="0"/>
        <v>424232.57</v>
      </c>
      <c r="J80" s="675" t="s">
        <v>35</v>
      </c>
      <c r="K80" s="781" t="s">
        <v>1195</v>
      </c>
    </row>
    <row r="81" spans="1:11" ht="39.950000000000003" customHeight="1">
      <c r="A81" s="529"/>
      <c r="B81" s="487"/>
      <c r="C81" s="488"/>
      <c r="D81" s="672"/>
      <c r="E81" s="475"/>
      <c r="F81" s="529">
        <v>25</v>
      </c>
      <c r="G81" s="500" t="s">
        <v>1145</v>
      </c>
      <c r="H81" s="532">
        <v>5800000</v>
      </c>
      <c r="I81" s="708">
        <f t="shared" si="0"/>
        <v>5608600</v>
      </c>
      <c r="J81" s="675" t="s">
        <v>35</v>
      </c>
      <c r="K81" s="477"/>
    </row>
    <row r="82" spans="1:11" ht="39.950000000000003" customHeight="1">
      <c r="A82" s="529"/>
      <c r="B82" s="472"/>
      <c r="C82" s="473"/>
      <c r="D82" s="672"/>
      <c r="E82" s="475"/>
      <c r="F82" s="529">
        <v>26</v>
      </c>
      <c r="G82" s="500" t="s">
        <v>1146</v>
      </c>
      <c r="H82" s="532">
        <v>6500000</v>
      </c>
      <c r="I82" s="708">
        <f t="shared" si="0"/>
        <v>6285500</v>
      </c>
      <c r="J82" s="675" t="s">
        <v>35</v>
      </c>
      <c r="K82" s="511"/>
    </row>
    <row r="83" spans="1:11" ht="39.950000000000003" customHeight="1">
      <c r="A83" s="529"/>
      <c r="B83" s="472"/>
      <c r="C83" s="473"/>
      <c r="D83" s="672"/>
      <c r="E83" s="475"/>
      <c r="F83" s="529">
        <v>27</v>
      </c>
      <c r="G83" s="500" t="s">
        <v>1147</v>
      </c>
      <c r="H83" s="532">
        <v>6000000</v>
      </c>
      <c r="I83" s="708">
        <f t="shared" si="0"/>
        <v>5802000</v>
      </c>
      <c r="J83" s="675" t="s">
        <v>35</v>
      </c>
      <c r="K83" s="511"/>
    </row>
    <row r="84" spans="1:11" ht="39.950000000000003" customHeight="1">
      <c r="A84" s="529"/>
      <c r="B84" s="472"/>
      <c r="C84" s="473"/>
      <c r="D84" s="672"/>
      <c r="E84" s="475"/>
      <c r="F84" s="529">
        <v>28</v>
      </c>
      <c r="G84" s="500" t="s">
        <v>1148</v>
      </c>
      <c r="H84" s="532">
        <v>5500000</v>
      </c>
      <c r="I84" s="708">
        <f t="shared" si="0"/>
        <v>5318500</v>
      </c>
      <c r="J84" s="675" t="s">
        <v>35</v>
      </c>
      <c r="K84" s="477"/>
    </row>
    <row r="85" spans="1:11" ht="39.950000000000003" customHeight="1">
      <c r="A85" s="529"/>
      <c r="B85" s="472"/>
      <c r="C85" s="473"/>
      <c r="D85" s="499"/>
      <c r="E85" s="475"/>
      <c r="F85" s="529">
        <v>29</v>
      </c>
      <c r="G85" s="500" t="s">
        <v>1149</v>
      </c>
      <c r="H85" s="532">
        <v>5500000</v>
      </c>
      <c r="I85" s="708">
        <f t="shared" si="0"/>
        <v>5318500</v>
      </c>
      <c r="J85" s="675" t="s">
        <v>35</v>
      </c>
      <c r="K85" s="511"/>
    </row>
    <row r="86" spans="1:11" ht="39.950000000000003" customHeight="1">
      <c r="A86" s="529"/>
      <c r="B86" s="472"/>
      <c r="C86" s="473"/>
      <c r="D86" s="499"/>
      <c r="E86" s="475"/>
      <c r="F86" s="529">
        <v>30</v>
      </c>
      <c r="G86" s="500" t="s">
        <v>1150</v>
      </c>
      <c r="H86" s="532">
        <v>8000000</v>
      </c>
      <c r="I86" s="708">
        <f t="shared" si="0"/>
        <v>7736000</v>
      </c>
      <c r="J86" s="675" t="s">
        <v>35</v>
      </c>
      <c r="K86" s="477"/>
    </row>
    <row r="87" spans="1:11" ht="39.950000000000003" customHeight="1">
      <c r="A87" s="529"/>
      <c r="B87" s="472"/>
      <c r="C87" s="473"/>
      <c r="D87" s="499"/>
      <c r="E87" s="475"/>
      <c r="F87" s="529">
        <v>31</v>
      </c>
      <c r="G87" s="533" t="s">
        <v>1151</v>
      </c>
      <c r="H87" s="550">
        <v>4500000</v>
      </c>
      <c r="I87" s="708">
        <f t="shared" si="0"/>
        <v>4351500</v>
      </c>
      <c r="J87" s="675" t="s">
        <v>35</v>
      </c>
      <c r="K87" s="477"/>
    </row>
    <row r="88" spans="1:11" ht="39.950000000000003" customHeight="1">
      <c r="A88" s="529"/>
      <c r="B88" s="472"/>
      <c r="C88" s="473"/>
      <c r="D88" s="499"/>
      <c r="E88" s="475"/>
      <c r="F88" s="529">
        <v>32</v>
      </c>
      <c r="G88" s="533" t="s">
        <v>1152</v>
      </c>
      <c r="H88" s="532">
        <v>6000000</v>
      </c>
      <c r="I88" s="708">
        <f t="shared" si="0"/>
        <v>5802000</v>
      </c>
      <c r="J88" s="675" t="s">
        <v>35</v>
      </c>
      <c r="K88" s="477"/>
    </row>
    <row r="89" spans="1:11" ht="39.950000000000003" customHeight="1">
      <c r="A89" s="529"/>
      <c r="B89" s="472"/>
      <c r="C89" s="473"/>
      <c r="D89" s="499"/>
      <c r="E89" s="475"/>
      <c r="F89" s="529">
        <v>33</v>
      </c>
      <c r="G89" s="533" t="s">
        <v>1153</v>
      </c>
      <c r="H89" s="532">
        <f>8000000</f>
        <v>8000000</v>
      </c>
      <c r="I89" s="708">
        <f t="shared" si="0"/>
        <v>7736000</v>
      </c>
      <c r="J89" s="675" t="s">
        <v>35</v>
      </c>
      <c r="K89" s="477"/>
    </row>
    <row r="90" spans="1:11" ht="39.950000000000003" customHeight="1">
      <c r="A90" s="529"/>
      <c r="B90" s="472"/>
      <c r="C90" s="473"/>
      <c r="D90" s="499"/>
      <c r="E90" s="475"/>
      <c r="F90" s="529">
        <v>34</v>
      </c>
      <c r="G90" s="773" t="s">
        <v>230</v>
      </c>
      <c r="H90" s="677">
        <v>9350000</v>
      </c>
      <c r="I90" s="776"/>
      <c r="J90" s="774" t="s">
        <v>35</v>
      </c>
      <c r="K90" s="477"/>
    </row>
    <row r="91" spans="1:11" ht="39.950000000000003" customHeight="1">
      <c r="A91" s="529"/>
      <c r="B91" s="472"/>
      <c r="C91" s="473"/>
      <c r="D91" s="499"/>
      <c r="E91" s="475"/>
      <c r="F91" s="529">
        <v>35</v>
      </c>
      <c r="G91" s="773" t="s">
        <v>1192</v>
      </c>
      <c r="H91" s="677">
        <v>5610000</v>
      </c>
      <c r="I91" s="677"/>
      <c r="J91" s="774" t="s">
        <v>35</v>
      </c>
      <c r="K91" s="477"/>
    </row>
    <row r="92" spans="1:11" ht="39.950000000000003" customHeight="1">
      <c r="A92" s="529"/>
      <c r="B92" s="472"/>
      <c r="C92" s="473"/>
      <c r="D92" s="499"/>
      <c r="E92" s="475"/>
      <c r="F92" s="529">
        <v>36</v>
      </c>
      <c r="G92" s="773" t="s">
        <v>1193</v>
      </c>
      <c r="H92" s="677">
        <f>9603000</f>
        <v>9603000</v>
      </c>
      <c r="I92" s="677"/>
      <c r="J92" s="774"/>
      <c r="K92" s="477"/>
    </row>
    <row r="93" spans="1:11" ht="39.950000000000003" customHeight="1">
      <c r="A93" s="529"/>
      <c r="B93" s="472"/>
      <c r="C93" s="473"/>
      <c r="D93" s="671"/>
      <c r="E93" s="475"/>
      <c r="F93" s="529">
        <v>37</v>
      </c>
      <c r="G93" s="773" t="s">
        <v>1154</v>
      </c>
      <c r="H93" s="677">
        <v>7150000</v>
      </c>
      <c r="I93" s="776"/>
      <c r="J93" s="774" t="s">
        <v>35</v>
      </c>
      <c r="K93" s="477"/>
    </row>
    <row r="94" spans="1:11" ht="39.950000000000003" customHeight="1">
      <c r="A94" s="529"/>
      <c r="B94" s="472"/>
      <c r="C94" s="473"/>
      <c r="D94" s="671"/>
      <c r="E94" s="475"/>
      <c r="F94" s="529">
        <v>38</v>
      </c>
      <c r="G94" s="500" t="s">
        <v>1155</v>
      </c>
      <c r="H94" s="532">
        <v>6050000</v>
      </c>
      <c r="I94" s="501"/>
      <c r="J94" s="675" t="s">
        <v>35</v>
      </c>
      <c r="K94" s="477"/>
    </row>
    <row r="95" spans="1:11" ht="39.950000000000003" customHeight="1">
      <c r="A95" s="529"/>
      <c r="B95" s="472"/>
      <c r="C95" s="473"/>
      <c r="D95" s="671"/>
      <c r="E95" s="475"/>
      <c r="F95" s="529">
        <v>39</v>
      </c>
      <c r="G95" s="500" t="s">
        <v>1161</v>
      </c>
      <c r="H95" s="532">
        <v>8800000</v>
      </c>
      <c r="I95" s="683"/>
      <c r="J95" s="675" t="s">
        <v>35</v>
      </c>
      <c r="K95" s="554" t="s">
        <v>1163</v>
      </c>
    </row>
    <row r="96" spans="1:11" ht="39.950000000000003" customHeight="1">
      <c r="A96" s="529"/>
      <c r="B96" s="472"/>
      <c r="C96" s="457"/>
      <c r="D96" s="671"/>
      <c r="E96" s="475"/>
      <c r="F96" s="529">
        <v>40</v>
      </c>
      <c r="G96" s="773" t="s">
        <v>1157</v>
      </c>
      <c r="H96" s="677">
        <v>23100000</v>
      </c>
      <c r="I96" s="775"/>
      <c r="J96" s="774" t="s">
        <v>35</v>
      </c>
      <c r="K96" s="554"/>
    </row>
    <row r="97" spans="1:11" ht="39.950000000000003" customHeight="1">
      <c r="A97" s="529"/>
      <c r="B97" s="472"/>
      <c r="C97" s="532"/>
      <c r="D97" s="671"/>
      <c r="E97" s="475"/>
      <c r="F97" s="529">
        <v>41</v>
      </c>
      <c r="G97" s="773" t="s">
        <v>1189</v>
      </c>
      <c r="H97" s="677">
        <v>57200000</v>
      </c>
      <c r="I97" s="677"/>
      <c r="J97" s="774" t="s">
        <v>35</v>
      </c>
      <c r="K97" s="554"/>
    </row>
    <row r="98" spans="1:11" ht="39.950000000000003" customHeight="1">
      <c r="A98" s="529"/>
      <c r="B98" s="472"/>
      <c r="C98" s="473"/>
      <c r="D98" s="671"/>
      <c r="E98" s="475"/>
      <c r="F98" s="529">
        <v>42</v>
      </c>
      <c r="G98" s="500" t="s">
        <v>927</v>
      </c>
      <c r="H98" s="532">
        <v>15000</v>
      </c>
      <c r="I98" s="532"/>
      <c r="J98" s="675" t="s">
        <v>35</v>
      </c>
      <c r="K98" s="715"/>
    </row>
    <row r="99" spans="1:11" ht="39.950000000000003" customHeight="1">
      <c r="A99" s="529"/>
      <c r="B99" s="472"/>
      <c r="C99" s="473"/>
      <c r="D99" s="671"/>
      <c r="E99" s="475"/>
      <c r="F99" s="529">
        <v>43</v>
      </c>
      <c r="G99" s="500" t="s">
        <v>1183</v>
      </c>
      <c r="H99" s="532">
        <v>500000</v>
      </c>
      <c r="I99" s="532"/>
      <c r="J99" s="675" t="s">
        <v>35</v>
      </c>
      <c r="K99" s="715"/>
    </row>
    <row r="100" spans="1:11" ht="39.950000000000003" customHeight="1">
      <c r="A100" s="529"/>
      <c r="B100" s="472"/>
      <c r="C100" s="473"/>
      <c r="D100" s="671"/>
      <c r="E100" s="475"/>
      <c r="F100" s="529">
        <v>44</v>
      </c>
      <c r="G100" s="500" t="s">
        <v>1184</v>
      </c>
      <c r="H100" s="532">
        <v>200000</v>
      </c>
      <c r="I100" s="536"/>
      <c r="J100" s="675" t="s">
        <v>35</v>
      </c>
      <c r="K100" s="772"/>
    </row>
    <row r="101" spans="1:11" ht="39.950000000000003" customHeight="1">
      <c r="A101" s="529"/>
      <c r="B101" s="472"/>
      <c r="C101" s="473"/>
      <c r="D101" s="671"/>
      <c r="E101" s="475"/>
      <c r="F101" s="529">
        <v>45</v>
      </c>
      <c r="G101" s="534" t="s">
        <v>235</v>
      </c>
      <c r="H101" s="532">
        <f>15440480+3626230+829270+1906160</f>
        <v>21802140</v>
      </c>
      <c r="I101" s="532"/>
      <c r="J101" s="675" t="s">
        <v>35</v>
      </c>
      <c r="K101" s="715"/>
    </row>
    <row r="102" spans="1:11" ht="39.950000000000003" customHeight="1">
      <c r="A102" s="529"/>
      <c r="B102" s="472"/>
      <c r="C102" s="473"/>
      <c r="D102" s="671"/>
      <c r="E102" s="475"/>
      <c r="F102" s="529">
        <v>46</v>
      </c>
      <c r="G102" s="500" t="s">
        <v>1185</v>
      </c>
      <c r="H102" s="532">
        <v>31341780</v>
      </c>
      <c r="I102" s="532"/>
      <c r="J102" s="675" t="s">
        <v>35</v>
      </c>
      <c r="K102" s="715"/>
    </row>
    <row r="103" spans="1:11" ht="39.950000000000003" customHeight="1">
      <c r="A103" s="529"/>
      <c r="B103" s="472"/>
      <c r="C103" s="473"/>
      <c r="D103" s="671"/>
      <c r="E103" s="475"/>
      <c r="F103" s="529">
        <v>47</v>
      </c>
      <c r="G103" s="500" t="s">
        <v>1186</v>
      </c>
      <c r="H103" s="532">
        <v>32812540</v>
      </c>
      <c r="I103" s="532"/>
      <c r="J103" s="675" t="s">
        <v>35</v>
      </c>
      <c r="K103" s="715"/>
    </row>
    <row r="104" spans="1:11" ht="39.950000000000003" customHeight="1">
      <c r="A104" s="529"/>
      <c r="B104" s="472"/>
      <c r="C104" s="473"/>
      <c r="D104" s="671"/>
      <c r="E104" s="475"/>
      <c r="F104" s="529">
        <v>48</v>
      </c>
      <c r="G104" s="500" t="s">
        <v>1187</v>
      </c>
      <c r="H104" s="532">
        <v>7846220</v>
      </c>
      <c r="I104" s="532"/>
      <c r="J104" s="675" t="s">
        <v>35</v>
      </c>
      <c r="K104" s="715"/>
    </row>
    <row r="105" spans="1:11" ht="39.950000000000003" customHeight="1">
      <c r="A105" s="529"/>
      <c r="B105" s="472"/>
      <c r="C105" s="473"/>
      <c r="D105" s="671"/>
      <c r="E105" s="475"/>
      <c r="F105" s="529">
        <v>49</v>
      </c>
      <c r="G105" s="500" t="s">
        <v>1188</v>
      </c>
      <c r="H105" s="532">
        <v>2726890</v>
      </c>
      <c r="I105" s="532"/>
      <c r="J105" s="675" t="s">
        <v>35</v>
      </c>
      <c r="K105" s="715"/>
    </row>
    <row r="106" spans="1:11" ht="39.950000000000003" customHeight="1">
      <c r="A106" s="529"/>
      <c r="B106" s="472"/>
      <c r="C106" s="473"/>
      <c r="D106" s="671"/>
      <c r="E106" s="475"/>
      <c r="F106" s="529">
        <v>50</v>
      </c>
      <c r="G106" s="500" t="s">
        <v>1191</v>
      </c>
      <c r="H106" s="677">
        <v>35936820</v>
      </c>
      <c r="I106" s="532"/>
      <c r="J106" s="675" t="s">
        <v>35</v>
      </c>
      <c r="K106" s="715"/>
    </row>
    <row r="107" spans="1:11" ht="39.950000000000003" customHeight="1" thickBot="1">
      <c r="A107" s="529"/>
      <c r="B107" s="472"/>
      <c r="C107" s="473"/>
      <c r="D107" s="671"/>
      <c r="E107" s="475"/>
      <c r="F107" s="529">
        <v>51</v>
      </c>
      <c r="G107" s="500" t="s">
        <v>1206</v>
      </c>
      <c r="H107" s="532">
        <v>3500000</v>
      </c>
      <c r="I107" s="532"/>
      <c r="J107" s="675" t="s">
        <v>35</v>
      </c>
      <c r="K107" s="754"/>
    </row>
    <row r="108" spans="1:11" ht="39.75" customHeight="1" thickBot="1">
      <c r="A108" s="513"/>
      <c r="B108" s="514" t="s">
        <v>72</v>
      </c>
      <c r="C108" s="519">
        <f>SUM(C57:C107)</f>
        <v>853745490</v>
      </c>
      <c r="D108" s="516"/>
      <c r="E108" s="517"/>
      <c r="F108" s="729"/>
      <c r="G108" s="730" t="s">
        <v>72</v>
      </c>
      <c r="H108" s="516">
        <f>SUM(H57:H107)</f>
        <v>831998116</v>
      </c>
      <c r="I108" s="516">
        <f>SUM(H57:H62,I63:I88,H89:H107)</f>
        <v>772636444.06699991</v>
      </c>
      <c r="J108" s="516"/>
      <c r="K108" s="731"/>
    </row>
    <row r="109" spans="1:11">
      <c r="H109" t="s">
        <v>1091</v>
      </c>
    </row>
  </sheetData>
  <mergeCells count="17">
    <mergeCell ref="A2:K3"/>
    <mergeCell ref="A5:J5"/>
    <mergeCell ref="A6:G6"/>
    <mergeCell ref="A7:B7"/>
    <mergeCell ref="C7:E7"/>
    <mergeCell ref="F7:G7"/>
    <mergeCell ref="H7:K7"/>
    <mergeCell ref="A54:G54"/>
    <mergeCell ref="A55:E55"/>
    <mergeCell ref="F55:K55"/>
    <mergeCell ref="A8:B9"/>
    <mergeCell ref="C8:E9"/>
    <mergeCell ref="F8:G9"/>
    <mergeCell ref="H8:K9"/>
    <mergeCell ref="A11:G11"/>
    <mergeCell ref="A12:E12"/>
    <mergeCell ref="F12:K12"/>
  </mergeCells>
  <phoneticPr fontId="2" type="noConversion"/>
  <printOptions horizontalCentered="1"/>
  <pageMargins left="0" right="0" top="0" bottom="0" header="0" footer="0"/>
  <pageSetup paperSize="9" scale="37" orientation="portrait" r:id="rId1"/>
  <rowBreaks count="1" manualBreakCount="1">
    <brk id="53" max="14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3B1CB-9FE6-4E55-87FF-9FB7DFAA6C01}">
  <sheetPr>
    <tabColor rgb="FF00B0F0"/>
  </sheetPr>
  <dimension ref="A1:K71"/>
  <sheetViews>
    <sheetView view="pageBreakPreview" topLeftCell="A4" zoomScale="70" zoomScaleNormal="100" zoomScaleSheetLayoutView="70" workbookViewId="0">
      <selection activeCell="A12" sqref="A12:K12"/>
    </sheetView>
  </sheetViews>
  <sheetFormatPr defaultRowHeight="16.5"/>
  <cols>
    <col min="1" max="1" width="6.75" bestFit="1" customWidth="1"/>
    <col min="2" max="2" width="68.875" customWidth="1"/>
    <col min="3" max="3" width="22.625" bestFit="1" customWidth="1"/>
    <col min="4" max="4" width="17.125" customWidth="1"/>
    <col min="5" max="5" width="23.25" hidden="1" customWidth="1"/>
    <col min="6" max="6" width="6.75" bestFit="1" customWidth="1"/>
    <col min="7" max="7" width="74.25" customWidth="1"/>
    <col min="8" max="8" width="22.625" bestFit="1" customWidth="1"/>
    <col min="9" max="9" width="22.625" customWidth="1"/>
    <col min="10" max="10" width="27.25" style="13" bestFit="1" customWidth="1"/>
    <col min="11" max="11" width="44.25" style="13" hidden="1" customWidth="1"/>
  </cols>
  <sheetData>
    <row r="1" spans="1:11" ht="36.75" customHeight="1"/>
    <row r="2" spans="1:11" ht="21.95" customHeight="1">
      <c r="A2" s="811" t="s">
        <v>14</v>
      </c>
      <c r="B2" s="811"/>
      <c r="C2" s="811"/>
      <c r="D2" s="811"/>
      <c r="E2" s="811"/>
      <c r="F2" s="811"/>
      <c r="G2" s="811"/>
      <c r="H2" s="811"/>
      <c r="I2" s="811"/>
      <c r="J2" s="811"/>
      <c r="K2" s="811"/>
    </row>
    <row r="3" spans="1:11" ht="12" customHeight="1">
      <c r="A3" s="811"/>
      <c r="B3" s="811"/>
      <c r="C3" s="811"/>
      <c r="D3" s="811"/>
      <c r="E3" s="811"/>
      <c r="F3" s="811"/>
      <c r="G3" s="811"/>
      <c r="H3" s="811"/>
      <c r="I3" s="811"/>
      <c r="J3" s="811"/>
      <c r="K3" s="811"/>
    </row>
    <row r="4" spans="1:11" ht="21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ht="18" customHeight="1">
      <c r="A5" s="818" t="s">
        <v>1203</v>
      </c>
      <c r="B5" s="818"/>
      <c r="C5" s="818"/>
      <c r="D5" s="818"/>
      <c r="E5" s="818"/>
      <c r="F5" s="818"/>
      <c r="G5" s="818"/>
      <c r="H5" s="818"/>
      <c r="I5" s="818"/>
      <c r="J5" s="818"/>
      <c r="K5" s="777"/>
    </row>
    <row r="6" spans="1:11" ht="18" customHeight="1" thickBot="1">
      <c r="A6" s="818" t="s">
        <v>16</v>
      </c>
      <c r="B6" s="819"/>
      <c r="C6" s="819"/>
      <c r="D6" s="819"/>
      <c r="E6" s="819"/>
      <c r="F6" s="819"/>
      <c r="G6" s="819"/>
      <c r="H6" s="778"/>
      <c r="I6" s="778"/>
      <c r="J6" s="3"/>
      <c r="K6" s="3"/>
    </row>
    <row r="7" spans="1:11" ht="27.75" customHeight="1" thickBot="1">
      <c r="A7" s="843" t="s">
        <v>17</v>
      </c>
      <c r="B7" s="844"/>
      <c r="C7" s="837" t="s">
        <v>18</v>
      </c>
      <c r="D7" s="828"/>
      <c r="E7" s="838"/>
      <c r="F7" s="837" t="s">
        <v>19</v>
      </c>
      <c r="G7" s="838"/>
      <c r="H7" s="828" t="s">
        <v>20</v>
      </c>
      <c r="I7" s="828"/>
      <c r="J7" s="828"/>
      <c r="K7" s="829"/>
    </row>
    <row r="8" spans="1:11" ht="18" customHeight="1" thickTop="1" thickBot="1">
      <c r="A8" s="824">
        <v>138319804.93133301</v>
      </c>
      <c r="B8" s="825"/>
      <c r="C8" s="812">
        <f>C22</f>
        <v>276122550</v>
      </c>
      <c r="D8" s="813"/>
      <c r="E8" s="814"/>
      <c r="F8" s="839">
        <f>H22</f>
        <v>9750834</v>
      </c>
      <c r="G8" s="840"/>
      <c r="H8" s="830">
        <f>SUM(A8:E9)-F8</f>
        <v>404691520.93133301</v>
      </c>
      <c r="I8" s="830"/>
      <c r="J8" s="830"/>
      <c r="K8" s="831"/>
    </row>
    <row r="9" spans="1:11" ht="22.5" customHeight="1" thickTop="1" thickBot="1">
      <c r="A9" s="826"/>
      <c r="B9" s="827"/>
      <c r="C9" s="815"/>
      <c r="D9" s="816"/>
      <c r="E9" s="817"/>
      <c r="F9" s="841"/>
      <c r="G9" s="842"/>
      <c r="H9" s="832"/>
      <c r="I9" s="832"/>
      <c r="J9" s="832"/>
      <c r="K9" s="833"/>
    </row>
    <row r="10" spans="1:11" ht="18" customHeight="1">
      <c r="A10" s="777"/>
      <c r="B10" s="778"/>
      <c r="C10" s="778"/>
      <c r="D10" s="778"/>
      <c r="E10" s="778"/>
      <c r="F10" s="778"/>
      <c r="G10" s="778"/>
      <c r="H10" s="778"/>
      <c r="I10" s="778"/>
      <c r="J10" s="23"/>
      <c r="K10" s="23"/>
    </row>
    <row r="11" spans="1:11" ht="32.25" customHeight="1" thickBot="1">
      <c r="A11" s="818" t="s">
        <v>21</v>
      </c>
      <c r="B11" s="819"/>
      <c r="C11" s="819"/>
      <c r="D11" s="819"/>
      <c r="E11" s="819"/>
      <c r="F11" s="819"/>
      <c r="G11" s="819"/>
      <c r="H11" s="778"/>
      <c r="I11" s="778"/>
      <c r="J11" s="3"/>
      <c r="K11" s="3"/>
    </row>
    <row r="12" spans="1:11" ht="39.950000000000003" customHeight="1" thickBot="1">
      <c r="A12" s="861" t="s">
        <v>1209</v>
      </c>
      <c r="B12" s="862"/>
      <c r="C12" s="862"/>
      <c r="D12" s="862"/>
      <c r="E12" s="863"/>
      <c r="F12" s="858" t="s">
        <v>1210</v>
      </c>
      <c r="G12" s="859"/>
      <c r="H12" s="859"/>
      <c r="I12" s="859"/>
      <c r="J12" s="859"/>
      <c r="K12" s="860"/>
    </row>
    <row r="13" spans="1:11" ht="39.950000000000003" customHeight="1" thickBot="1">
      <c r="A13" s="459" t="s">
        <v>24</v>
      </c>
      <c r="B13" s="460" t="s">
        <v>25</v>
      </c>
      <c r="C13" s="461" t="s">
        <v>108</v>
      </c>
      <c r="D13" s="782" t="s">
        <v>27</v>
      </c>
      <c r="E13" s="779" t="s">
        <v>10</v>
      </c>
      <c r="F13" s="459" t="s">
        <v>24</v>
      </c>
      <c r="G13" s="460" t="s">
        <v>25</v>
      </c>
      <c r="H13" s="461" t="s">
        <v>108</v>
      </c>
      <c r="I13" s="461" t="s">
        <v>200</v>
      </c>
      <c r="J13" s="782" t="s">
        <v>655</v>
      </c>
      <c r="K13" s="779" t="s">
        <v>10</v>
      </c>
    </row>
    <row r="14" spans="1:11" ht="39.950000000000003" customHeight="1">
      <c r="A14" s="524">
        <v>1</v>
      </c>
      <c r="B14" s="487" t="s">
        <v>1129</v>
      </c>
      <c r="C14" s="488">
        <v>266222550</v>
      </c>
      <c r="D14" s="789" t="s">
        <v>1214</v>
      </c>
      <c r="E14" s="787" t="s">
        <v>824</v>
      </c>
      <c r="F14" s="491">
        <v>1</v>
      </c>
      <c r="G14" s="534" t="s">
        <v>1204</v>
      </c>
      <c r="H14" s="595">
        <v>3500000</v>
      </c>
      <c r="I14" s="595"/>
      <c r="J14" s="576">
        <v>44410</v>
      </c>
      <c r="K14" s="555" t="s">
        <v>1133</v>
      </c>
    </row>
    <row r="15" spans="1:11" ht="39.950000000000003" customHeight="1">
      <c r="A15" s="529">
        <v>2</v>
      </c>
      <c r="B15" s="472" t="s">
        <v>1182</v>
      </c>
      <c r="C15" s="473">
        <v>9900000</v>
      </c>
      <c r="D15" s="789" t="s">
        <v>1205</v>
      </c>
      <c r="E15" s="787" t="s">
        <v>1040</v>
      </c>
      <c r="F15" s="529">
        <v>2</v>
      </c>
      <c r="G15" s="500" t="s">
        <v>151</v>
      </c>
      <c r="H15" s="501">
        <f>4160000+8620</f>
        <v>4168620</v>
      </c>
      <c r="I15" s="501"/>
      <c r="J15" s="503" t="s">
        <v>35</v>
      </c>
      <c r="K15" s="607" t="s">
        <v>253</v>
      </c>
    </row>
    <row r="16" spans="1:11" ht="39.950000000000003" customHeight="1">
      <c r="A16" s="529"/>
      <c r="B16" s="472"/>
      <c r="C16" s="473"/>
      <c r="D16" s="789"/>
      <c r="E16" s="621"/>
      <c r="F16" s="529">
        <v>3</v>
      </c>
      <c r="G16" s="500" t="s">
        <v>1190</v>
      </c>
      <c r="H16" s="561">
        <v>1000000</v>
      </c>
      <c r="I16" s="561"/>
      <c r="J16" s="503" t="s">
        <v>35</v>
      </c>
      <c r="K16" s="497" t="s">
        <v>890</v>
      </c>
    </row>
    <row r="17" spans="1:11" ht="39.950000000000003" customHeight="1">
      <c r="A17" s="529"/>
      <c r="B17" s="472"/>
      <c r="C17" s="473"/>
      <c r="D17" s="789"/>
      <c r="E17" s="788"/>
      <c r="F17" s="529">
        <v>4</v>
      </c>
      <c r="G17" s="500" t="s">
        <v>1135</v>
      </c>
      <c r="H17" s="561">
        <v>307680</v>
      </c>
      <c r="I17" s="561"/>
      <c r="J17" s="576">
        <v>44413</v>
      </c>
      <c r="K17" s="497" t="s">
        <v>890</v>
      </c>
    </row>
    <row r="18" spans="1:11" ht="39.950000000000003" customHeight="1">
      <c r="A18" s="529"/>
      <c r="B18" s="472"/>
      <c r="C18" s="716"/>
      <c r="D18" s="790"/>
      <c r="E18" s="787"/>
      <c r="F18" s="529">
        <v>5</v>
      </c>
      <c r="G18" s="500" t="s">
        <v>1136</v>
      </c>
      <c r="H18" s="561">
        <v>532200</v>
      </c>
      <c r="I18" s="561"/>
      <c r="J18" s="676" t="s">
        <v>35</v>
      </c>
      <c r="K18" s="497" t="s">
        <v>35</v>
      </c>
    </row>
    <row r="19" spans="1:11" ht="39.950000000000003" customHeight="1">
      <c r="A19" s="529"/>
      <c r="B19" s="472"/>
      <c r="C19" s="716"/>
      <c r="D19" s="791"/>
      <c r="E19" s="621" t="s">
        <v>35</v>
      </c>
      <c r="F19" s="529">
        <v>6</v>
      </c>
      <c r="G19" s="534" t="s">
        <v>1137</v>
      </c>
      <c r="H19" s="561">
        <v>12500</v>
      </c>
      <c r="I19" s="561"/>
      <c r="J19" s="676" t="s">
        <v>35</v>
      </c>
      <c r="K19" s="497" t="s">
        <v>423</v>
      </c>
    </row>
    <row r="20" spans="1:11" ht="39.950000000000003" customHeight="1">
      <c r="A20" s="529"/>
      <c r="B20" s="472"/>
      <c r="C20" s="716"/>
      <c r="D20" s="791"/>
      <c r="E20" s="621"/>
      <c r="F20" s="529">
        <v>7</v>
      </c>
      <c r="G20" s="534" t="s">
        <v>1132</v>
      </c>
      <c r="H20" s="561">
        <v>144986</v>
      </c>
      <c r="I20" s="561"/>
      <c r="J20" s="783">
        <v>44414</v>
      </c>
      <c r="K20" s="497"/>
    </row>
    <row r="21" spans="1:11" ht="39.950000000000003" customHeight="1" thickBot="1">
      <c r="A21" s="529"/>
      <c r="B21" s="498"/>
      <c r="C21" s="716"/>
      <c r="D21" s="755"/>
      <c r="E21" s="621" t="s">
        <v>35</v>
      </c>
      <c r="F21" s="529">
        <v>8</v>
      </c>
      <c r="G21" s="500" t="s">
        <v>501</v>
      </c>
      <c r="H21" s="530">
        <v>84848</v>
      </c>
      <c r="I21" s="561"/>
      <c r="J21" s="576">
        <v>44415</v>
      </c>
      <c r="K21" s="477" t="s">
        <v>887</v>
      </c>
    </row>
    <row r="22" spans="1:11" ht="39.950000000000003" customHeight="1" thickBot="1">
      <c r="A22" s="513"/>
      <c r="B22" s="514" t="s">
        <v>72</v>
      </c>
      <c r="C22" s="515">
        <f>SUM(C14:C21)</f>
        <v>276122550</v>
      </c>
      <c r="D22" s="731"/>
      <c r="E22" s="517"/>
      <c r="F22" s="752"/>
      <c r="G22" s="514" t="s">
        <v>72</v>
      </c>
      <c r="H22" s="519">
        <f>SUM(H14:H21)</f>
        <v>9750834</v>
      </c>
      <c r="I22" s="519"/>
      <c r="J22" s="520" t="s">
        <v>73</v>
      </c>
      <c r="K22" s="521"/>
    </row>
    <row r="23" spans="1:11" ht="39.950000000000003" customHeight="1" thickBot="1">
      <c r="A23" s="864" t="s">
        <v>74</v>
      </c>
      <c r="B23" s="865"/>
      <c r="C23" s="865"/>
      <c r="D23" s="865"/>
      <c r="E23" s="865"/>
      <c r="F23" s="865"/>
      <c r="G23" s="865"/>
      <c r="H23" s="780"/>
      <c r="I23" s="780"/>
      <c r="J23" s="739"/>
      <c r="K23" s="740"/>
    </row>
    <row r="24" spans="1:11" ht="39.950000000000003" customHeight="1" thickBot="1">
      <c r="A24" s="858" t="s">
        <v>1211</v>
      </c>
      <c r="B24" s="859"/>
      <c r="C24" s="859"/>
      <c r="D24" s="859"/>
      <c r="E24" s="860"/>
      <c r="F24" s="858" t="s">
        <v>1212</v>
      </c>
      <c r="G24" s="859"/>
      <c r="H24" s="859"/>
      <c r="I24" s="859"/>
      <c r="J24" s="859"/>
      <c r="K24" s="860"/>
    </row>
    <row r="25" spans="1:11" ht="39.950000000000003" customHeight="1" thickBot="1">
      <c r="A25" s="459" t="s">
        <v>24</v>
      </c>
      <c r="B25" s="460" t="s">
        <v>25</v>
      </c>
      <c r="C25" s="461" t="s">
        <v>108</v>
      </c>
      <c r="D25" s="461" t="s">
        <v>27</v>
      </c>
      <c r="E25" s="779" t="s">
        <v>10</v>
      </c>
      <c r="F25" s="459" t="s">
        <v>24</v>
      </c>
      <c r="G25" s="460" t="s">
        <v>25</v>
      </c>
      <c r="H25" s="461" t="s">
        <v>108</v>
      </c>
      <c r="I25" s="461" t="s">
        <v>200</v>
      </c>
      <c r="J25" s="461" t="s">
        <v>655</v>
      </c>
      <c r="K25" s="779" t="s">
        <v>10</v>
      </c>
    </row>
    <row r="26" spans="1:11" ht="39.950000000000003" customHeight="1">
      <c r="A26" s="524">
        <v>1</v>
      </c>
      <c r="B26" s="564" t="s">
        <v>1200</v>
      </c>
      <c r="C26" s="565">
        <v>99000000</v>
      </c>
      <c r="D26" s="741" t="s">
        <v>1217</v>
      </c>
      <c r="E26" s="800"/>
      <c r="F26" s="529">
        <v>1</v>
      </c>
      <c r="G26" s="500" t="s">
        <v>895</v>
      </c>
      <c r="H26" s="530">
        <v>44000</v>
      </c>
      <c r="I26" s="561"/>
      <c r="J26" s="676">
        <v>44417</v>
      </c>
      <c r="K26" s="786"/>
    </row>
    <row r="27" spans="1:11" ht="39.950000000000003" customHeight="1">
      <c r="A27" s="491">
        <v>2</v>
      </c>
      <c r="B27" s="686" t="s">
        <v>1218</v>
      </c>
      <c r="C27" s="488">
        <v>688991</v>
      </c>
      <c r="D27" s="705" t="s">
        <v>35</v>
      </c>
      <c r="E27" s="800"/>
      <c r="F27" s="529">
        <v>2</v>
      </c>
      <c r="G27" s="534" t="s">
        <v>1139</v>
      </c>
      <c r="H27" s="561">
        <v>422584425</v>
      </c>
      <c r="I27" s="708">
        <v>358451295</v>
      </c>
      <c r="J27" s="676">
        <v>44418</v>
      </c>
      <c r="K27" s="786"/>
    </row>
    <row r="28" spans="1:11" ht="39.950000000000003" customHeight="1">
      <c r="A28" s="491">
        <v>3</v>
      </c>
      <c r="B28" s="472" t="s">
        <v>1101</v>
      </c>
      <c r="C28" s="473">
        <v>43560000</v>
      </c>
      <c r="D28" s="705" t="s">
        <v>1221</v>
      </c>
      <c r="E28" s="800"/>
      <c r="F28" s="529">
        <v>3</v>
      </c>
      <c r="G28" s="534" t="s">
        <v>1219</v>
      </c>
      <c r="H28" s="561"/>
      <c r="I28" s="708">
        <v>8884500</v>
      </c>
      <c r="J28" s="676"/>
      <c r="K28" s="786"/>
    </row>
    <row r="29" spans="1:11" ht="39.950000000000003" customHeight="1">
      <c r="A29" s="491">
        <v>4</v>
      </c>
      <c r="B29" s="472" t="s">
        <v>1037</v>
      </c>
      <c r="C29" s="716">
        <v>47300000</v>
      </c>
      <c r="D29" s="717" t="s">
        <v>1213</v>
      </c>
      <c r="E29" s="475"/>
      <c r="F29" s="529">
        <v>4</v>
      </c>
      <c r="G29" s="500" t="s">
        <v>1141</v>
      </c>
      <c r="H29" s="532">
        <v>8333333</v>
      </c>
      <c r="I29" s="708">
        <f>H29-(H29*3.3%)</f>
        <v>8058333.0109999999</v>
      </c>
      <c r="J29" s="675" t="s">
        <v>35</v>
      </c>
      <c r="K29" s="477"/>
    </row>
    <row r="30" spans="1:11" ht="39.950000000000003" customHeight="1">
      <c r="A30" s="491">
        <v>5</v>
      </c>
      <c r="B30" s="472" t="s">
        <v>1171</v>
      </c>
      <c r="C30" s="488">
        <v>15400000</v>
      </c>
      <c r="D30" s="717" t="s">
        <v>1173</v>
      </c>
      <c r="E30" s="475" t="s">
        <v>1040</v>
      </c>
      <c r="F30" s="529">
        <v>5</v>
      </c>
      <c r="G30" s="500" t="s">
        <v>1140</v>
      </c>
      <c r="H30" s="532">
        <v>5000000</v>
      </c>
      <c r="I30" s="708">
        <v>5000000</v>
      </c>
      <c r="J30" s="675" t="s">
        <v>35</v>
      </c>
      <c r="K30" s="497"/>
    </row>
    <row r="31" spans="1:11" ht="39.950000000000003" customHeight="1">
      <c r="A31" s="491">
        <v>6</v>
      </c>
      <c r="B31" s="487" t="s">
        <v>1112</v>
      </c>
      <c r="C31" s="488">
        <v>79200000</v>
      </c>
      <c r="D31" s="717" t="s">
        <v>35</v>
      </c>
      <c r="E31" s="490"/>
      <c r="F31" s="529">
        <v>6</v>
      </c>
      <c r="G31" s="500" t="s">
        <v>1142</v>
      </c>
      <c r="H31" s="501">
        <v>4000000</v>
      </c>
      <c r="I31" s="708">
        <f t="shared" ref="I31:I51" si="0">H31-(H31*3.3%)</f>
        <v>3868000</v>
      </c>
      <c r="J31" s="799" t="s">
        <v>35</v>
      </c>
      <c r="K31" s="497"/>
    </row>
    <row r="32" spans="1:11" ht="39.950000000000003" customHeight="1">
      <c r="A32" s="491">
        <v>7</v>
      </c>
      <c r="B32" s="472" t="s">
        <v>1172</v>
      </c>
      <c r="C32" s="473">
        <v>10670000</v>
      </c>
      <c r="D32" s="717" t="s">
        <v>35</v>
      </c>
      <c r="E32" s="475"/>
      <c r="F32" s="529">
        <v>7</v>
      </c>
      <c r="G32" s="500" t="s">
        <v>1143</v>
      </c>
      <c r="H32" s="501">
        <v>4900000</v>
      </c>
      <c r="I32" s="708">
        <f>H32-(H32*3.3%)</f>
        <v>4738300</v>
      </c>
      <c r="J32" s="675" t="s">
        <v>35</v>
      </c>
      <c r="K32" s="497"/>
    </row>
    <row r="33" spans="1:11" ht="39.950000000000003" customHeight="1">
      <c r="A33" s="491">
        <v>8</v>
      </c>
      <c r="B33" s="472" t="s">
        <v>1098</v>
      </c>
      <c r="C33" s="473">
        <v>880000</v>
      </c>
      <c r="D33" s="717" t="s">
        <v>35</v>
      </c>
      <c r="E33" s="475"/>
      <c r="F33" s="529">
        <v>8</v>
      </c>
      <c r="G33" s="533" t="s">
        <v>1169</v>
      </c>
      <c r="H33" s="532">
        <f>7500000</f>
        <v>7500000</v>
      </c>
      <c r="I33" s="708">
        <f>H33-(H33*3.3%)</f>
        <v>7252500</v>
      </c>
      <c r="J33" s="675" t="s">
        <v>35</v>
      </c>
      <c r="K33" s="497"/>
    </row>
    <row r="34" spans="1:11" ht="39.950000000000003" customHeight="1">
      <c r="A34" s="491">
        <v>9</v>
      </c>
      <c r="B34" s="472" t="s">
        <v>1095</v>
      </c>
      <c r="C34" s="473">
        <v>82500000</v>
      </c>
      <c r="D34" s="674" t="s">
        <v>1097</v>
      </c>
      <c r="E34" s="475"/>
      <c r="F34" s="529">
        <v>9</v>
      </c>
      <c r="G34" s="533" t="s">
        <v>1158</v>
      </c>
      <c r="H34" s="532">
        <v>6500000</v>
      </c>
      <c r="I34" s="708">
        <f>H34-(H34*3.3%)</f>
        <v>6285500</v>
      </c>
      <c r="J34" s="675" t="s">
        <v>35</v>
      </c>
      <c r="K34" s="477"/>
    </row>
    <row r="35" spans="1:11" ht="39.950000000000003" customHeight="1">
      <c r="A35" s="491">
        <v>10</v>
      </c>
      <c r="B35" s="487" t="s">
        <v>1104</v>
      </c>
      <c r="C35" s="488">
        <v>6187500</v>
      </c>
      <c r="D35" s="717" t="s">
        <v>1107</v>
      </c>
      <c r="E35" s="475"/>
      <c r="F35" s="529">
        <v>10</v>
      </c>
      <c r="G35" s="533" t="s">
        <v>1159</v>
      </c>
      <c r="H35" s="532">
        <v>5900000</v>
      </c>
      <c r="I35" s="708">
        <f>H35-(H35*3.3%)</f>
        <v>5705300</v>
      </c>
      <c r="J35" s="675" t="s">
        <v>35</v>
      </c>
      <c r="K35" s="497"/>
    </row>
    <row r="36" spans="1:11" ht="39.950000000000003" customHeight="1">
      <c r="A36" s="491">
        <v>11</v>
      </c>
      <c r="B36" s="472" t="s">
        <v>1176</v>
      </c>
      <c r="C36" s="473">
        <f>37500000*1.1</f>
        <v>41250000</v>
      </c>
      <c r="D36" s="672" t="s">
        <v>1178</v>
      </c>
      <c r="E36" s="475"/>
      <c r="F36" s="529">
        <v>11</v>
      </c>
      <c r="G36" s="533" t="s">
        <v>1160</v>
      </c>
      <c r="H36" s="532">
        <v>4800000</v>
      </c>
      <c r="I36" s="708">
        <f>H36-(H36*3.3%)</f>
        <v>4641600</v>
      </c>
      <c r="J36" s="675" t="s">
        <v>35</v>
      </c>
      <c r="K36" s="477"/>
    </row>
    <row r="37" spans="1:11" ht="39.950000000000003" customHeight="1">
      <c r="A37" s="491">
        <v>12</v>
      </c>
      <c r="B37" s="472" t="s">
        <v>1177</v>
      </c>
      <c r="C37" s="473">
        <v>46376567</v>
      </c>
      <c r="D37" s="672" t="s">
        <v>35</v>
      </c>
      <c r="E37" s="490"/>
      <c r="F37" s="529">
        <v>12</v>
      </c>
      <c r="G37" s="533" t="s">
        <v>1162</v>
      </c>
      <c r="H37" s="532">
        <v>7000000</v>
      </c>
      <c r="I37" s="708">
        <f t="shared" si="0"/>
        <v>6769000</v>
      </c>
      <c r="J37" s="675" t="s">
        <v>35</v>
      </c>
      <c r="K37" s="477"/>
    </row>
    <row r="38" spans="1:11" ht="39.950000000000003" customHeight="1">
      <c r="A38" s="491">
        <v>13</v>
      </c>
      <c r="B38" s="472" t="s">
        <v>1179</v>
      </c>
      <c r="C38" s="473">
        <v>6270000</v>
      </c>
      <c r="D38" s="672" t="s">
        <v>35</v>
      </c>
      <c r="E38" s="490"/>
      <c r="F38" s="529">
        <v>13</v>
      </c>
      <c r="G38" s="533" t="s">
        <v>1164</v>
      </c>
      <c r="H38" s="532">
        <v>6200000</v>
      </c>
      <c r="I38" s="708">
        <f t="shared" ref="I38:I43" si="1">H38-(H38*3.3%)</f>
        <v>5995400</v>
      </c>
      <c r="J38" s="675" t="s">
        <v>35</v>
      </c>
      <c r="K38" s="781"/>
    </row>
    <row r="39" spans="1:11" ht="39.950000000000003" customHeight="1">
      <c r="A39" s="491">
        <v>14</v>
      </c>
      <c r="B39" s="487" t="s">
        <v>1105</v>
      </c>
      <c r="C39" s="488">
        <v>13785057</v>
      </c>
      <c r="D39" s="717" t="s">
        <v>1108</v>
      </c>
      <c r="E39" s="475"/>
      <c r="F39" s="529">
        <v>14</v>
      </c>
      <c r="G39" s="533" t="s">
        <v>1167</v>
      </c>
      <c r="H39" s="532">
        <v>3354839</v>
      </c>
      <c r="I39" s="708">
        <f t="shared" si="1"/>
        <v>3244129.3130000001</v>
      </c>
      <c r="J39" s="675" t="s">
        <v>35</v>
      </c>
      <c r="K39" s="477" t="s">
        <v>1165</v>
      </c>
    </row>
    <row r="40" spans="1:11" ht="39.950000000000003" customHeight="1">
      <c r="A40" s="491">
        <v>15</v>
      </c>
      <c r="B40" s="472" t="s">
        <v>1199</v>
      </c>
      <c r="C40" s="473">
        <v>22110000</v>
      </c>
      <c r="D40" s="672" t="s">
        <v>1202</v>
      </c>
      <c r="E40" s="475"/>
      <c r="F40" s="529">
        <v>15</v>
      </c>
      <c r="G40" s="533" t="s">
        <v>1168</v>
      </c>
      <c r="H40" s="532">
        <v>2809677</v>
      </c>
      <c r="I40" s="708">
        <f t="shared" si="1"/>
        <v>2716957.659</v>
      </c>
      <c r="J40" s="675" t="s">
        <v>35</v>
      </c>
      <c r="K40" s="477" t="s">
        <v>1166</v>
      </c>
    </row>
    <row r="41" spans="1:11" ht="39.950000000000003" customHeight="1">
      <c r="A41" s="491">
        <v>16</v>
      </c>
      <c r="B41" s="472" t="s">
        <v>1102</v>
      </c>
      <c r="C41" s="473">
        <v>23100000</v>
      </c>
      <c r="D41" s="672" t="s">
        <v>1103</v>
      </c>
      <c r="E41" s="475"/>
      <c r="F41" s="529">
        <v>16</v>
      </c>
      <c r="G41" s="500" t="s">
        <v>1156</v>
      </c>
      <c r="H41" s="501">
        <v>6000000</v>
      </c>
      <c r="I41" s="708">
        <f t="shared" si="1"/>
        <v>5802000</v>
      </c>
      <c r="J41" s="675" t="s">
        <v>35</v>
      </c>
      <c r="K41" s="477"/>
    </row>
    <row r="42" spans="1:11" ht="39.950000000000003" customHeight="1">
      <c r="A42" s="491">
        <v>17</v>
      </c>
      <c r="B42" s="472" t="s">
        <v>1094</v>
      </c>
      <c r="C42" s="473">
        <v>10725000</v>
      </c>
      <c r="D42" s="672" t="s">
        <v>1215</v>
      </c>
      <c r="E42" s="475"/>
      <c r="F42" s="529">
        <v>17</v>
      </c>
      <c r="G42" s="500" t="s">
        <v>1144</v>
      </c>
      <c r="H42" s="501">
        <v>6800000</v>
      </c>
      <c r="I42" s="708">
        <f t="shared" si="1"/>
        <v>6575600</v>
      </c>
      <c r="J42" s="675" t="s">
        <v>35</v>
      </c>
      <c r="K42" s="477"/>
    </row>
    <row r="43" spans="1:11" ht="39.950000000000003" customHeight="1">
      <c r="A43" s="491">
        <v>18</v>
      </c>
      <c r="B43" s="487" t="s">
        <v>1128</v>
      </c>
      <c r="C43" s="488">
        <v>6187500</v>
      </c>
      <c r="D43" s="672" t="s">
        <v>1175</v>
      </c>
      <c r="E43" s="475"/>
      <c r="F43" s="529">
        <v>18</v>
      </c>
      <c r="G43" s="500" t="s">
        <v>1145</v>
      </c>
      <c r="H43" s="532">
        <v>5800000</v>
      </c>
      <c r="I43" s="708">
        <f t="shared" si="1"/>
        <v>5608600</v>
      </c>
      <c r="J43" s="675" t="s">
        <v>35</v>
      </c>
      <c r="K43" s="477"/>
    </row>
    <row r="44" spans="1:11" ht="39.950000000000003" customHeight="1">
      <c r="A44" s="491">
        <v>19</v>
      </c>
      <c r="B44" s="472" t="s">
        <v>1106</v>
      </c>
      <c r="C44" s="473">
        <v>12416316</v>
      </c>
      <c r="D44" s="672" t="s">
        <v>1174</v>
      </c>
      <c r="E44" s="475"/>
      <c r="F44" s="529">
        <v>19</v>
      </c>
      <c r="G44" s="500" t="s">
        <v>1146</v>
      </c>
      <c r="H44" s="532">
        <v>6500000</v>
      </c>
      <c r="I44" s="708">
        <f t="shared" si="0"/>
        <v>6285500</v>
      </c>
      <c r="J44" s="675" t="s">
        <v>35</v>
      </c>
      <c r="K44" s="477"/>
    </row>
    <row r="45" spans="1:11" ht="39.950000000000003" customHeight="1">
      <c r="A45" s="491">
        <v>20</v>
      </c>
      <c r="B45" s="472" t="s">
        <v>1180</v>
      </c>
      <c r="C45" s="716">
        <f>4400000</f>
        <v>4400000</v>
      </c>
      <c r="D45" s="672" t="s">
        <v>140</v>
      </c>
      <c r="E45" s="490"/>
      <c r="F45" s="529">
        <v>20</v>
      </c>
      <c r="G45" s="500" t="s">
        <v>1147</v>
      </c>
      <c r="H45" s="532">
        <v>6000000</v>
      </c>
      <c r="I45" s="708">
        <f t="shared" si="0"/>
        <v>5802000</v>
      </c>
      <c r="J45" s="675" t="s">
        <v>35</v>
      </c>
      <c r="K45" s="477"/>
    </row>
    <row r="46" spans="1:11" ht="39.950000000000003" customHeight="1">
      <c r="A46" s="491">
        <v>21</v>
      </c>
      <c r="B46" s="472" t="s">
        <v>1196</v>
      </c>
      <c r="C46" s="473">
        <v>6305000</v>
      </c>
      <c r="D46" s="672" t="s">
        <v>140</v>
      </c>
      <c r="E46" s="475"/>
      <c r="F46" s="529">
        <v>21</v>
      </c>
      <c r="G46" s="500" t="s">
        <v>1148</v>
      </c>
      <c r="H46" s="532">
        <v>5500000</v>
      </c>
      <c r="I46" s="708">
        <f t="shared" si="0"/>
        <v>5318500</v>
      </c>
      <c r="J46" s="675" t="s">
        <v>35</v>
      </c>
      <c r="K46" s="511"/>
    </row>
    <row r="47" spans="1:11" ht="39.950000000000003" customHeight="1">
      <c r="A47" s="491"/>
      <c r="B47" s="472"/>
      <c r="C47" s="473"/>
      <c r="D47" s="672"/>
      <c r="E47" s="475"/>
      <c r="F47" s="529">
        <v>22</v>
      </c>
      <c r="G47" s="500" t="s">
        <v>1149</v>
      </c>
      <c r="H47" s="532">
        <v>5500000</v>
      </c>
      <c r="I47" s="708">
        <f t="shared" si="0"/>
        <v>5318500</v>
      </c>
      <c r="J47" s="675" t="s">
        <v>35</v>
      </c>
      <c r="K47" s="477"/>
    </row>
    <row r="48" spans="1:11" ht="39.950000000000003" customHeight="1">
      <c r="A48" s="529"/>
      <c r="B48" s="472"/>
      <c r="C48" s="473"/>
      <c r="D48" s="672"/>
      <c r="E48" s="475"/>
      <c r="F48" s="529">
        <v>23</v>
      </c>
      <c r="G48" s="500" t="s">
        <v>1150</v>
      </c>
      <c r="H48" s="532">
        <v>8000000</v>
      </c>
      <c r="I48" s="708">
        <f t="shared" si="0"/>
        <v>7736000</v>
      </c>
      <c r="J48" s="675" t="s">
        <v>35</v>
      </c>
      <c r="K48" s="781"/>
    </row>
    <row r="49" spans="1:11" ht="39.950000000000003" customHeight="1">
      <c r="A49" s="529"/>
      <c r="B49" s="472"/>
      <c r="C49" s="473"/>
      <c r="D49" s="672"/>
      <c r="E49" s="475"/>
      <c r="F49" s="529">
        <v>24</v>
      </c>
      <c r="G49" s="533" t="s">
        <v>1151</v>
      </c>
      <c r="H49" s="550">
        <v>4500000</v>
      </c>
      <c r="I49" s="708">
        <f t="shared" si="0"/>
        <v>4351500</v>
      </c>
      <c r="J49" s="675" t="s">
        <v>35</v>
      </c>
      <c r="K49" s="477"/>
    </row>
    <row r="50" spans="1:11" ht="39.950000000000003" customHeight="1">
      <c r="A50" s="529"/>
      <c r="B50" s="472"/>
      <c r="C50" s="473"/>
      <c r="D50" s="672"/>
      <c r="E50" s="475"/>
      <c r="F50" s="529">
        <v>25</v>
      </c>
      <c r="G50" s="533" t="s">
        <v>1152</v>
      </c>
      <c r="H50" s="532">
        <v>6000000</v>
      </c>
      <c r="I50" s="708">
        <f t="shared" si="0"/>
        <v>5802000</v>
      </c>
      <c r="J50" s="675" t="s">
        <v>35</v>
      </c>
      <c r="K50" s="511"/>
    </row>
    <row r="51" spans="1:11" ht="39.950000000000003" customHeight="1">
      <c r="A51" s="529"/>
      <c r="B51" s="472"/>
      <c r="C51" s="473"/>
      <c r="D51" s="672"/>
      <c r="E51" s="475"/>
      <c r="F51" s="529">
        <v>26</v>
      </c>
      <c r="G51" s="533" t="s">
        <v>1153</v>
      </c>
      <c r="H51" s="532">
        <f>8000000</f>
        <v>8000000</v>
      </c>
      <c r="I51" s="708">
        <f t="shared" si="0"/>
        <v>7736000</v>
      </c>
      <c r="J51" s="675" t="s">
        <v>35</v>
      </c>
      <c r="K51" s="511"/>
    </row>
    <row r="52" spans="1:11" ht="39.950000000000003" customHeight="1">
      <c r="A52" s="529"/>
      <c r="B52" s="472"/>
      <c r="C52" s="473"/>
      <c r="D52" s="672"/>
      <c r="E52" s="475"/>
      <c r="F52" s="529">
        <v>27</v>
      </c>
      <c r="G52" s="500" t="s">
        <v>230</v>
      </c>
      <c r="H52" s="532">
        <v>9350000</v>
      </c>
      <c r="I52" s="501"/>
      <c r="J52" s="675" t="s">
        <v>35</v>
      </c>
      <c r="K52" s="477"/>
    </row>
    <row r="53" spans="1:11" ht="39.950000000000003" customHeight="1">
      <c r="A53" s="529"/>
      <c r="B53" s="472"/>
      <c r="C53" s="473"/>
      <c r="D53" s="499"/>
      <c r="E53" s="475"/>
      <c r="F53" s="529">
        <v>28</v>
      </c>
      <c r="G53" s="500" t="s">
        <v>1192</v>
      </c>
      <c r="H53" s="532">
        <v>5610000</v>
      </c>
      <c r="I53" s="532"/>
      <c r="J53" s="675" t="s">
        <v>35</v>
      </c>
      <c r="K53" s="511"/>
    </row>
    <row r="54" spans="1:11" ht="39.950000000000003" customHeight="1">
      <c r="A54" s="529"/>
      <c r="B54" s="472"/>
      <c r="C54" s="473"/>
      <c r="D54" s="499"/>
      <c r="E54" s="475"/>
      <c r="F54" s="529">
        <v>29</v>
      </c>
      <c r="G54" s="500" t="s">
        <v>1193</v>
      </c>
      <c r="H54" s="532">
        <f>9603000</f>
        <v>9603000</v>
      </c>
      <c r="I54" s="532"/>
      <c r="J54" s="675"/>
      <c r="K54" s="477"/>
    </row>
    <row r="55" spans="1:11" ht="39.950000000000003" customHeight="1">
      <c r="A55" s="529"/>
      <c r="B55" s="472"/>
      <c r="C55" s="473"/>
      <c r="D55" s="499"/>
      <c r="E55" s="475"/>
      <c r="F55" s="529">
        <v>30</v>
      </c>
      <c r="G55" s="500" t="s">
        <v>1154</v>
      </c>
      <c r="H55" s="532">
        <v>7150000</v>
      </c>
      <c r="I55" s="501"/>
      <c r="J55" s="675" t="s">
        <v>35</v>
      </c>
      <c r="K55" s="477"/>
    </row>
    <row r="56" spans="1:11" ht="39.950000000000003" customHeight="1">
      <c r="A56" s="529"/>
      <c r="B56" s="472"/>
      <c r="C56" s="473"/>
      <c r="D56" s="499"/>
      <c r="E56" s="475"/>
      <c r="F56" s="529">
        <v>31</v>
      </c>
      <c r="G56" s="500" t="s">
        <v>1155</v>
      </c>
      <c r="H56" s="532">
        <v>6050000</v>
      </c>
      <c r="I56" s="501"/>
      <c r="J56" s="675" t="s">
        <v>35</v>
      </c>
      <c r="K56" s="477"/>
    </row>
    <row r="57" spans="1:11" ht="39.950000000000003" customHeight="1">
      <c r="A57" s="529"/>
      <c r="B57" s="472"/>
      <c r="C57" s="473"/>
      <c r="D57" s="499"/>
      <c r="E57" s="475"/>
      <c r="F57" s="529">
        <v>32</v>
      </c>
      <c r="G57" s="500" t="s">
        <v>927</v>
      </c>
      <c r="H57" s="532">
        <v>15000</v>
      </c>
      <c r="I57" s="532"/>
      <c r="J57" s="675" t="s">
        <v>35</v>
      </c>
      <c r="K57" s="477"/>
    </row>
    <row r="58" spans="1:11" ht="39.950000000000003" customHeight="1">
      <c r="A58" s="529"/>
      <c r="B58" s="472"/>
      <c r="C58" s="473"/>
      <c r="D58" s="671"/>
      <c r="E58" s="475"/>
      <c r="F58" s="529">
        <v>33</v>
      </c>
      <c r="G58" s="500" t="s">
        <v>1183</v>
      </c>
      <c r="H58" s="532">
        <v>500000</v>
      </c>
      <c r="I58" s="532"/>
      <c r="J58" s="675" t="s">
        <v>35</v>
      </c>
      <c r="K58" s="477"/>
    </row>
    <row r="59" spans="1:11" ht="39.950000000000003" customHeight="1">
      <c r="A59" s="529"/>
      <c r="B59" s="472"/>
      <c r="C59" s="473"/>
      <c r="D59" s="671"/>
      <c r="E59" s="475"/>
      <c r="F59" s="529">
        <v>34</v>
      </c>
      <c r="G59" s="534" t="s">
        <v>235</v>
      </c>
      <c r="H59" s="532">
        <f>15440480+3626230+829270+1906160</f>
        <v>21802140</v>
      </c>
      <c r="I59" s="532"/>
      <c r="J59" s="675" t="s">
        <v>35</v>
      </c>
      <c r="K59" s="554" t="s">
        <v>1163</v>
      </c>
    </row>
    <row r="60" spans="1:11" ht="39.950000000000003" customHeight="1">
      <c r="A60" s="529"/>
      <c r="B60" s="472"/>
      <c r="C60" s="457"/>
      <c r="D60" s="671"/>
      <c r="E60" s="475"/>
      <c r="F60" s="529">
        <v>35</v>
      </c>
      <c r="G60" s="500" t="s">
        <v>1185</v>
      </c>
      <c r="H60" s="532">
        <v>31341780</v>
      </c>
      <c r="I60" s="532"/>
      <c r="J60" s="675" t="s">
        <v>35</v>
      </c>
      <c r="K60" s="554"/>
    </row>
    <row r="61" spans="1:11" ht="39.950000000000003" customHeight="1">
      <c r="A61" s="529"/>
      <c r="B61" s="472"/>
      <c r="C61" s="532"/>
      <c r="D61" s="671"/>
      <c r="E61" s="475"/>
      <c r="F61" s="529">
        <v>36</v>
      </c>
      <c r="G61" s="500" t="s">
        <v>1186</v>
      </c>
      <c r="H61" s="532">
        <v>32812540</v>
      </c>
      <c r="I61" s="532"/>
      <c r="J61" s="675" t="s">
        <v>35</v>
      </c>
      <c r="K61" s="554"/>
    </row>
    <row r="62" spans="1:11" ht="39.950000000000003" customHeight="1">
      <c r="A62" s="529"/>
      <c r="B62" s="472"/>
      <c r="C62" s="473"/>
      <c r="D62" s="671"/>
      <c r="E62" s="475"/>
      <c r="F62" s="529">
        <v>37</v>
      </c>
      <c r="G62" s="500" t="s">
        <v>1187</v>
      </c>
      <c r="H62" s="532">
        <v>7845970</v>
      </c>
      <c r="I62" s="532"/>
      <c r="J62" s="675" t="s">
        <v>35</v>
      </c>
      <c r="K62" s="715"/>
    </row>
    <row r="63" spans="1:11" ht="39.950000000000003" customHeight="1">
      <c r="A63" s="529"/>
      <c r="B63" s="472"/>
      <c r="C63" s="473"/>
      <c r="D63" s="671"/>
      <c r="E63" s="475"/>
      <c r="F63" s="529">
        <v>38</v>
      </c>
      <c r="G63" s="500" t="s">
        <v>1188</v>
      </c>
      <c r="H63" s="532">
        <v>2726640</v>
      </c>
      <c r="I63" s="532"/>
      <c r="J63" s="675" t="s">
        <v>35</v>
      </c>
      <c r="K63" s="715"/>
    </row>
    <row r="64" spans="1:11" ht="39.950000000000003" customHeight="1">
      <c r="A64" s="529"/>
      <c r="B64" s="472"/>
      <c r="C64" s="473"/>
      <c r="D64" s="499"/>
      <c r="E64" s="475"/>
      <c r="F64" s="529">
        <v>39</v>
      </c>
      <c r="G64" s="500" t="s">
        <v>1161</v>
      </c>
      <c r="H64" s="532">
        <v>8800000</v>
      </c>
      <c r="I64" s="683"/>
      <c r="J64" s="675" t="s">
        <v>1213</v>
      </c>
      <c r="K64" s="477"/>
    </row>
    <row r="65" spans="1:11" ht="39.950000000000003" customHeight="1">
      <c r="A65" s="529"/>
      <c r="B65" s="472"/>
      <c r="C65" s="473"/>
      <c r="D65" s="499"/>
      <c r="E65" s="475"/>
      <c r="F65" s="529">
        <v>40</v>
      </c>
      <c r="G65" s="500" t="s">
        <v>1157</v>
      </c>
      <c r="H65" s="532">
        <v>23100000</v>
      </c>
      <c r="I65" s="683"/>
      <c r="J65" s="675" t="s">
        <v>1220</v>
      </c>
      <c r="K65" s="477"/>
    </row>
    <row r="66" spans="1:11" ht="39.950000000000003" customHeight="1">
      <c r="A66" s="529"/>
      <c r="B66" s="472"/>
      <c r="C66" s="473"/>
      <c r="D66" s="499"/>
      <c r="E66" s="475"/>
      <c r="F66" s="529">
        <v>41</v>
      </c>
      <c r="G66" s="500" t="s">
        <v>1189</v>
      </c>
      <c r="H66" s="532">
        <v>57200000</v>
      </c>
      <c r="I66" s="532"/>
      <c r="J66" s="675" t="s">
        <v>35</v>
      </c>
      <c r="K66" s="477"/>
    </row>
    <row r="67" spans="1:11" ht="39.950000000000003" customHeight="1">
      <c r="A67" s="529"/>
      <c r="B67" s="472"/>
      <c r="C67" s="473"/>
      <c r="D67" s="671"/>
      <c r="E67" s="475"/>
      <c r="F67" s="529">
        <v>42</v>
      </c>
      <c r="G67" s="500" t="s">
        <v>1191</v>
      </c>
      <c r="H67" s="532">
        <f>35370970</f>
        <v>35370970</v>
      </c>
      <c r="I67" s="532"/>
      <c r="J67" s="675" t="s">
        <v>35</v>
      </c>
      <c r="K67" s="772"/>
    </row>
    <row r="68" spans="1:11" ht="39.950000000000003" customHeight="1">
      <c r="A68" s="529"/>
      <c r="B68" s="472"/>
      <c r="C68" s="473"/>
      <c r="D68" s="671"/>
      <c r="E68" s="475"/>
      <c r="F68" s="529">
        <v>43</v>
      </c>
      <c r="G68" s="500" t="s">
        <v>1207</v>
      </c>
      <c r="H68" s="532">
        <v>4166670</v>
      </c>
      <c r="I68" s="532"/>
      <c r="J68" s="675" t="s">
        <v>35</v>
      </c>
      <c r="K68" s="715"/>
    </row>
    <row r="69" spans="1:11" ht="39.950000000000003" customHeight="1" thickBot="1">
      <c r="A69" s="529"/>
      <c r="B69" s="472"/>
      <c r="C69" s="473"/>
      <c r="D69" s="671"/>
      <c r="E69" s="475"/>
      <c r="F69" s="529">
        <v>44</v>
      </c>
      <c r="G69" s="500" t="s">
        <v>1206</v>
      </c>
      <c r="H69" s="532">
        <v>3500000</v>
      </c>
      <c r="I69" s="532"/>
      <c r="J69" s="675" t="s">
        <v>35</v>
      </c>
      <c r="K69" s="715"/>
    </row>
    <row r="70" spans="1:11" ht="39.75" customHeight="1" thickBot="1">
      <c r="A70" s="513"/>
      <c r="B70" s="514" t="s">
        <v>72</v>
      </c>
      <c r="C70" s="519">
        <f>SUM(C26:C69)</f>
        <v>578311931</v>
      </c>
      <c r="D70" s="516"/>
      <c r="E70" s="517"/>
      <c r="F70" s="729"/>
      <c r="G70" s="730" t="s">
        <v>72</v>
      </c>
      <c r="H70" s="516">
        <f>SUM(H26:H69)</f>
        <v>824470984</v>
      </c>
      <c r="I70" s="516">
        <f>SUM(H26,I27:I51,H52:H69)</f>
        <v>764935724.98300004</v>
      </c>
      <c r="J70" s="516"/>
      <c r="K70" s="731"/>
    </row>
    <row r="71" spans="1:11">
      <c r="H71" t="s">
        <v>1091</v>
      </c>
    </row>
  </sheetData>
  <mergeCells count="17">
    <mergeCell ref="A23:G23"/>
    <mergeCell ref="A24:E24"/>
    <mergeCell ref="F24:K24"/>
    <mergeCell ref="A8:B9"/>
    <mergeCell ref="C8:E9"/>
    <mergeCell ref="F8:G9"/>
    <mergeCell ref="H8:K9"/>
    <mergeCell ref="A11:G11"/>
    <mergeCell ref="A12:E12"/>
    <mergeCell ref="F12:K12"/>
    <mergeCell ref="A2:K3"/>
    <mergeCell ref="A5:J5"/>
    <mergeCell ref="A6:G6"/>
    <mergeCell ref="A7:B7"/>
    <mergeCell ref="C7:E7"/>
    <mergeCell ref="F7:G7"/>
    <mergeCell ref="H7:K7"/>
  </mergeCells>
  <phoneticPr fontId="2" type="noConversion"/>
  <printOptions horizontalCentered="1"/>
  <pageMargins left="0" right="0" top="0" bottom="0" header="0" footer="0"/>
  <pageSetup paperSize="9" scale="31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02CA3-2AE8-4DD7-A950-13396B8E8ADA}">
  <sheetPr>
    <tabColor rgb="FF00B0F0"/>
  </sheetPr>
  <dimension ref="A1:K83"/>
  <sheetViews>
    <sheetView tabSelected="1" view="pageBreakPreview" zoomScale="70" zoomScaleNormal="100" zoomScaleSheetLayoutView="70" workbookViewId="0">
      <selection activeCell="G18" sqref="G18"/>
    </sheetView>
  </sheetViews>
  <sheetFormatPr defaultRowHeight="16.5"/>
  <cols>
    <col min="1" max="1" width="6.75" bestFit="1" customWidth="1"/>
    <col min="2" max="2" width="68.875" customWidth="1"/>
    <col min="3" max="3" width="22.625" bestFit="1" customWidth="1"/>
    <col min="4" max="4" width="17.125" customWidth="1"/>
    <col min="5" max="5" width="23.25" hidden="1" customWidth="1"/>
    <col min="6" max="6" width="6.75" bestFit="1" customWidth="1"/>
    <col min="7" max="7" width="74.25" customWidth="1"/>
    <col min="8" max="8" width="22.625" bestFit="1" customWidth="1"/>
    <col min="9" max="9" width="22.625" customWidth="1"/>
    <col min="10" max="10" width="27.25" style="13" bestFit="1" customWidth="1"/>
    <col min="11" max="11" width="44.25" style="13" hidden="1" customWidth="1"/>
  </cols>
  <sheetData>
    <row r="1" spans="1:11" ht="36.75" customHeight="1"/>
    <row r="2" spans="1:11" ht="21.95" customHeight="1">
      <c r="A2" s="811" t="s">
        <v>14</v>
      </c>
      <c r="B2" s="811"/>
      <c r="C2" s="811"/>
      <c r="D2" s="811"/>
      <c r="E2" s="811"/>
      <c r="F2" s="811"/>
      <c r="G2" s="811"/>
      <c r="H2" s="811"/>
      <c r="I2" s="811"/>
      <c r="J2" s="811"/>
      <c r="K2" s="811"/>
    </row>
    <row r="3" spans="1:11" ht="12" customHeight="1">
      <c r="A3" s="811"/>
      <c r="B3" s="811"/>
      <c r="C3" s="811"/>
      <c r="D3" s="811"/>
      <c r="E3" s="811"/>
      <c r="F3" s="811"/>
      <c r="G3" s="811"/>
      <c r="H3" s="811"/>
      <c r="I3" s="811"/>
      <c r="J3" s="811"/>
      <c r="K3" s="811"/>
    </row>
    <row r="4" spans="1:11" ht="21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ht="18" customHeight="1">
      <c r="A5" s="818" t="s">
        <v>1231</v>
      </c>
      <c r="B5" s="818"/>
      <c r="C5" s="818"/>
      <c r="D5" s="818"/>
      <c r="E5" s="818"/>
      <c r="F5" s="818"/>
      <c r="G5" s="818"/>
      <c r="H5" s="818"/>
      <c r="I5" s="818"/>
      <c r="J5" s="818"/>
      <c r="K5" s="792"/>
    </row>
    <row r="6" spans="1:11" ht="18" customHeight="1" thickBot="1">
      <c r="A6" s="818" t="s">
        <v>16</v>
      </c>
      <c r="B6" s="819"/>
      <c r="C6" s="819"/>
      <c r="D6" s="819"/>
      <c r="E6" s="819"/>
      <c r="F6" s="819"/>
      <c r="G6" s="819"/>
      <c r="H6" s="793"/>
      <c r="I6" s="793"/>
      <c r="J6" s="3"/>
      <c r="K6" s="3"/>
    </row>
    <row r="7" spans="1:11" ht="27.75" customHeight="1" thickBot="1">
      <c r="A7" s="843" t="s">
        <v>17</v>
      </c>
      <c r="B7" s="844"/>
      <c r="C7" s="837" t="s">
        <v>18</v>
      </c>
      <c r="D7" s="828"/>
      <c r="E7" s="838"/>
      <c r="F7" s="837" t="s">
        <v>19</v>
      </c>
      <c r="G7" s="838"/>
      <c r="H7" s="828" t="s">
        <v>20</v>
      </c>
      <c r="I7" s="828"/>
      <c r="J7" s="828"/>
      <c r="K7" s="829"/>
    </row>
    <row r="8" spans="1:11" ht="18" customHeight="1" thickTop="1" thickBot="1">
      <c r="A8" s="824">
        <v>404691521</v>
      </c>
      <c r="B8" s="825"/>
      <c r="C8" s="812">
        <f>C57</f>
        <v>320418991</v>
      </c>
      <c r="D8" s="813"/>
      <c r="E8" s="814"/>
      <c r="F8" s="839">
        <f>I57</f>
        <v>722623179.98300004</v>
      </c>
      <c r="G8" s="840"/>
      <c r="H8" s="830">
        <f>SUM(A8:E9)-F8</f>
        <v>2487332.0169999599</v>
      </c>
      <c r="I8" s="830"/>
      <c r="J8" s="830"/>
      <c r="K8" s="831"/>
    </row>
    <row r="9" spans="1:11" ht="22.5" customHeight="1" thickTop="1" thickBot="1">
      <c r="A9" s="826"/>
      <c r="B9" s="827"/>
      <c r="C9" s="815"/>
      <c r="D9" s="816"/>
      <c r="E9" s="817"/>
      <c r="F9" s="841"/>
      <c r="G9" s="842"/>
      <c r="H9" s="832"/>
      <c r="I9" s="832"/>
      <c r="J9" s="832"/>
      <c r="K9" s="833"/>
    </row>
    <row r="10" spans="1:11" ht="18" customHeight="1">
      <c r="A10" s="792"/>
      <c r="B10" s="793"/>
      <c r="C10" s="793"/>
      <c r="D10" s="793"/>
      <c r="E10" s="793"/>
      <c r="F10" s="793"/>
      <c r="G10" s="793"/>
      <c r="H10" s="793"/>
      <c r="I10" s="793"/>
      <c r="J10" s="23"/>
      <c r="K10" s="23"/>
    </row>
    <row r="11" spans="1:11" ht="32.25" customHeight="1" thickBot="1">
      <c r="A11" s="818" t="s">
        <v>21</v>
      </c>
      <c r="B11" s="819"/>
      <c r="C11" s="819"/>
      <c r="D11" s="819"/>
      <c r="E11" s="819"/>
      <c r="F11" s="819"/>
      <c r="G11" s="819"/>
      <c r="H11" s="793"/>
      <c r="I11" s="793"/>
      <c r="J11" s="3"/>
      <c r="K11" s="3"/>
    </row>
    <row r="12" spans="1:11" ht="39.950000000000003" customHeight="1" thickBot="1">
      <c r="A12" s="861" t="s">
        <v>1239</v>
      </c>
      <c r="B12" s="862"/>
      <c r="C12" s="862"/>
      <c r="D12" s="862"/>
      <c r="E12" s="863"/>
      <c r="F12" s="858" t="s">
        <v>1240</v>
      </c>
      <c r="G12" s="859"/>
      <c r="H12" s="859"/>
      <c r="I12" s="859"/>
      <c r="J12" s="859"/>
      <c r="K12" s="860"/>
    </row>
    <row r="13" spans="1:11" ht="39.950000000000003" customHeight="1" thickBot="1">
      <c r="A13" s="459" t="s">
        <v>24</v>
      </c>
      <c r="B13" s="460" t="s">
        <v>25</v>
      </c>
      <c r="C13" s="461" t="s">
        <v>108</v>
      </c>
      <c r="D13" s="782" t="s">
        <v>27</v>
      </c>
      <c r="E13" s="798" t="s">
        <v>10</v>
      </c>
      <c r="F13" s="459" t="s">
        <v>24</v>
      </c>
      <c r="G13" s="460" t="s">
        <v>25</v>
      </c>
      <c r="H13" s="461" t="s">
        <v>108</v>
      </c>
      <c r="I13" s="461" t="s">
        <v>200</v>
      </c>
      <c r="J13" s="782" t="s">
        <v>655</v>
      </c>
      <c r="K13" s="795" t="s">
        <v>10</v>
      </c>
    </row>
    <row r="14" spans="1:11" ht="39.950000000000003" customHeight="1" thickBot="1">
      <c r="A14" s="524">
        <v>1</v>
      </c>
      <c r="B14" s="564" t="s">
        <v>1200</v>
      </c>
      <c r="C14" s="565">
        <v>99000000</v>
      </c>
      <c r="D14" s="741" t="s">
        <v>1217</v>
      </c>
      <c r="E14" s="786"/>
      <c r="F14" s="529">
        <v>1</v>
      </c>
      <c r="G14" s="500" t="s">
        <v>895</v>
      </c>
      <c r="H14" s="530">
        <v>44000</v>
      </c>
      <c r="I14" s="561"/>
      <c r="J14" s="803">
        <v>44417</v>
      </c>
      <c r="K14" s="794"/>
    </row>
    <row r="15" spans="1:11" ht="39.950000000000003" customHeight="1" thickBot="1">
      <c r="A15" s="491">
        <v>2</v>
      </c>
      <c r="B15" s="686" t="s">
        <v>1218</v>
      </c>
      <c r="C15" s="488">
        <v>688991</v>
      </c>
      <c r="D15" s="705" t="s">
        <v>35</v>
      </c>
      <c r="E15" s="786"/>
      <c r="F15" s="529">
        <v>2</v>
      </c>
      <c r="G15" s="534" t="s">
        <v>1139</v>
      </c>
      <c r="H15" s="561">
        <v>422584425</v>
      </c>
      <c r="I15" s="708">
        <v>358451295</v>
      </c>
      <c r="J15" s="803">
        <v>44418</v>
      </c>
      <c r="K15" s="794"/>
    </row>
    <row r="16" spans="1:11" ht="39.950000000000003" customHeight="1" thickBot="1">
      <c r="A16" s="491">
        <v>3</v>
      </c>
      <c r="B16" s="472" t="s">
        <v>1101</v>
      </c>
      <c r="C16" s="473">
        <v>43560000</v>
      </c>
      <c r="D16" s="705" t="s">
        <v>1221</v>
      </c>
      <c r="E16" s="786"/>
      <c r="F16" s="529">
        <v>3</v>
      </c>
      <c r="G16" s="534" t="s">
        <v>1219</v>
      </c>
      <c r="H16" s="561"/>
      <c r="I16" s="708">
        <v>8884500</v>
      </c>
      <c r="J16" s="803"/>
      <c r="K16" s="794"/>
    </row>
    <row r="17" spans="1:11" ht="39.950000000000003" customHeight="1" thickBot="1">
      <c r="A17" s="529">
        <v>4</v>
      </c>
      <c r="B17" s="472" t="s">
        <v>491</v>
      </c>
      <c r="C17" s="473">
        <v>40000000</v>
      </c>
      <c r="D17" s="672" t="s">
        <v>35</v>
      </c>
      <c r="E17" s="786"/>
      <c r="F17" s="529">
        <v>4</v>
      </c>
      <c r="G17" s="500" t="s">
        <v>1141</v>
      </c>
      <c r="H17" s="532">
        <v>8333333</v>
      </c>
      <c r="I17" s="708">
        <f>H17-(H17*3.3%)</f>
        <v>8058333.0109999999</v>
      </c>
      <c r="J17" s="781" t="s">
        <v>35</v>
      </c>
      <c r="K17" s="794"/>
    </row>
    <row r="18" spans="1:11" ht="39.950000000000003" customHeight="1" thickBot="1">
      <c r="A18" s="529">
        <v>5</v>
      </c>
      <c r="B18" s="487" t="s">
        <v>1112</v>
      </c>
      <c r="C18" s="488">
        <v>79200000</v>
      </c>
      <c r="D18" s="672" t="s">
        <v>1224</v>
      </c>
      <c r="E18" s="786"/>
      <c r="F18" s="529">
        <v>5</v>
      </c>
      <c r="G18" s="500" t="s">
        <v>1140</v>
      </c>
      <c r="H18" s="532">
        <v>5000000</v>
      </c>
      <c r="I18" s="708">
        <v>5000000</v>
      </c>
      <c r="J18" s="781" t="s">
        <v>35</v>
      </c>
      <c r="K18" s="794"/>
    </row>
    <row r="19" spans="1:11" ht="39.950000000000003" customHeight="1" thickBot="1">
      <c r="A19" s="529">
        <v>6</v>
      </c>
      <c r="B19" s="472" t="s">
        <v>1037</v>
      </c>
      <c r="C19" s="716">
        <v>47300000</v>
      </c>
      <c r="D19" s="672" t="s">
        <v>1225</v>
      </c>
      <c r="E19" s="786"/>
      <c r="F19" s="529">
        <v>6</v>
      </c>
      <c r="G19" s="500" t="s">
        <v>1142</v>
      </c>
      <c r="H19" s="501">
        <v>4000000</v>
      </c>
      <c r="I19" s="708">
        <f t="shared" ref="I19" si="0">H19-(H19*3.3%)</f>
        <v>3868000</v>
      </c>
      <c r="J19" s="804" t="s">
        <v>35</v>
      </c>
      <c r="K19" s="794"/>
    </row>
    <row r="20" spans="1:11" ht="39.950000000000003" customHeight="1" thickBot="1">
      <c r="A20" s="529">
        <v>7</v>
      </c>
      <c r="B20" s="472" t="s">
        <v>1172</v>
      </c>
      <c r="C20" s="473">
        <v>10670000</v>
      </c>
      <c r="D20" s="672" t="s">
        <v>35</v>
      </c>
      <c r="E20" s="786"/>
      <c r="F20" s="529">
        <v>7</v>
      </c>
      <c r="G20" s="500" t="s">
        <v>1143</v>
      </c>
      <c r="H20" s="501">
        <v>4900000</v>
      </c>
      <c r="I20" s="708">
        <f>H20-(H20*3.3%)</f>
        <v>4738300</v>
      </c>
      <c r="J20" s="781" t="s">
        <v>35</v>
      </c>
      <c r="K20" s="794"/>
    </row>
    <row r="21" spans="1:11" ht="39.950000000000003" customHeight="1" thickBot="1">
      <c r="A21" s="529"/>
      <c r="B21" s="472"/>
      <c r="C21" s="473"/>
      <c r="D21" s="672"/>
      <c r="E21" s="786"/>
      <c r="F21" s="529">
        <v>8</v>
      </c>
      <c r="G21" s="533" t="s">
        <v>1169</v>
      </c>
      <c r="H21" s="532">
        <f>7500000</f>
        <v>7500000</v>
      </c>
      <c r="I21" s="708">
        <f>H21-(H21*3.3%)</f>
        <v>7252500</v>
      </c>
      <c r="J21" s="781" t="s">
        <v>35</v>
      </c>
      <c r="K21" s="794"/>
    </row>
    <row r="22" spans="1:11" ht="39.950000000000003" customHeight="1" thickBot="1">
      <c r="A22" s="529"/>
      <c r="B22" s="472"/>
      <c r="C22" s="473"/>
      <c r="D22" s="499"/>
      <c r="E22" s="786"/>
      <c r="F22" s="529">
        <v>9</v>
      </c>
      <c r="G22" s="533" t="s">
        <v>1158</v>
      </c>
      <c r="H22" s="532">
        <v>6500000</v>
      </c>
      <c r="I22" s="708">
        <f>H22-(H22*3.3%)</f>
        <v>6285500</v>
      </c>
      <c r="J22" s="781" t="s">
        <v>35</v>
      </c>
      <c r="K22" s="794"/>
    </row>
    <row r="23" spans="1:11" ht="39.950000000000003" customHeight="1" thickBot="1">
      <c r="A23" s="529"/>
      <c r="B23" s="472"/>
      <c r="C23" s="473"/>
      <c r="D23" s="499"/>
      <c r="E23" s="786"/>
      <c r="F23" s="529">
        <v>10</v>
      </c>
      <c r="G23" s="533" t="s">
        <v>1159</v>
      </c>
      <c r="H23" s="532">
        <v>5900000</v>
      </c>
      <c r="I23" s="708">
        <f>H23-(H23*3.3%)</f>
        <v>5705300</v>
      </c>
      <c r="J23" s="781" t="s">
        <v>35</v>
      </c>
      <c r="K23" s="794"/>
    </row>
    <row r="24" spans="1:11" ht="39.950000000000003" customHeight="1" thickBot="1">
      <c r="A24" s="529"/>
      <c r="B24" s="472"/>
      <c r="C24" s="473"/>
      <c r="D24" s="499"/>
      <c r="E24" s="786"/>
      <c r="F24" s="529">
        <v>11</v>
      </c>
      <c r="G24" s="533" t="s">
        <v>1160</v>
      </c>
      <c r="H24" s="532">
        <v>4800000</v>
      </c>
      <c r="I24" s="708">
        <f>H24-(H24*3.3%)</f>
        <v>4641600</v>
      </c>
      <c r="J24" s="781" t="s">
        <v>35</v>
      </c>
      <c r="K24" s="794"/>
    </row>
    <row r="25" spans="1:11" ht="39.950000000000003" customHeight="1" thickBot="1">
      <c r="A25" s="529"/>
      <c r="B25" s="472"/>
      <c r="C25" s="473"/>
      <c r="D25" s="499"/>
      <c r="E25" s="786"/>
      <c r="F25" s="529">
        <v>12</v>
      </c>
      <c r="G25" s="533" t="s">
        <v>1162</v>
      </c>
      <c r="H25" s="532">
        <v>7000000</v>
      </c>
      <c r="I25" s="708">
        <f t="shared" ref="I25:I39" si="1">H25-(H25*3.3%)</f>
        <v>6769000</v>
      </c>
      <c r="J25" s="781" t="s">
        <v>35</v>
      </c>
      <c r="K25" s="794"/>
    </row>
    <row r="26" spans="1:11" ht="39.950000000000003" customHeight="1" thickBot="1">
      <c r="A26" s="529"/>
      <c r="B26" s="472"/>
      <c r="C26" s="473"/>
      <c r="D26" s="672"/>
      <c r="E26" s="786"/>
      <c r="F26" s="529">
        <v>13</v>
      </c>
      <c r="G26" s="533" t="s">
        <v>1164</v>
      </c>
      <c r="H26" s="532">
        <v>6200000</v>
      </c>
      <c r="I26" s="708">
        <f t="shared" si="1"/>
        <v>5995400</v>
      </c>
      <c r="J26" s="781" t="s">
        <v>35</v>
      </c>
      <c r="K26" s="794"/>
    </row>
    <row r="27" spans="1:11" ht="39.950000000000003" customHeight="1" thickBot="1">
      <c r="A27" s="529"/>
      <c r="B27" s="472"/>
      <c r="C27" s="473"/>
      <c r="D27" s="672"/>
      <c r="E27" s="786"/>
      <c r="F27" s="529">
        <v>14</v>
      </c>
      <c r="G27" s="533" t="s">
        <v>1167</v>
      </c>
      <c r="H27" s="532">
        <v>3354839</v>
      </c>
      <c r="I27" s="708">
        <f t="shared" si="1"/>
        <v>3244129.3130000001</v>
      </c>
      <c r="J27" s="781" t="s">
        <v>35</v>
      </c>
      <c r="K27" s="794"/>
    </row>
    <row r="28" spans="1:11" ht="39.950000000000003" customHeight="1" thickBot="1">
      <c r="A28" s="529"/>
      <c r="B28" s="472"/>
      <c r="C28" s="473"/>
      <c r="D28" s="672"/>
      <c r="E28" s="786"/>
      <c r="F28" s="529">
        <v>15</v>
      </c>
      <c r="G28" s="533" t="s">
        <v>1168</v>
      </c>
      <c r="H28" s="532">
        <v>2809677</v>
      </c>
      <c r="I28" s="708">
        <f t="shared" si="1"/>
        <v>2716957.659</v>
      </c>
      <c r="J28" s="781" t="s">
        <v>35</v>
      </c>
      <c r="K28" s="794"/>
    </row>
    <row r="29" spans="1:11" ht="39.950000000000003" customHeight="1" thickBot="1">
      <c r="A29" s="529"/>
      <c r="B29" s="472"/>
      <c r="C29" s="473"/>
      <c r="D29" s="672"/>
      <c r="E29" s="786"/>
      <c r="F29" s="529">
        <v>16</v>
      </c>
      <c r="G29" s="500" t="s">
        <v>1156</v>
      </c>
      <c r="H29" s="501">
        <v>6000000</v>
      </c>
      <c r="I29" s="708">
        <f t="shared" si="1"/>
        <v>5802000</v>
      </c>
      <c r="J29" s="781" t="s">
        <v>35</v>
      </c>
      <c r="K29" s="794"/>
    </row>
    <row r="30" spans="1:11" ht="39.950000000000003" customHeight="1" thickBot="1">
      <c r="A30" s="529"/>
      <c r="B30" s="472"/>
      <c r="C30" s="473"/>
      <c r="D30" s="672"/>
      <c r="E30" s="786"/>
      <c r="F30" s="529">
        <v>17</v>
      </c>
      <c r="G30" s="500" t="s">
        <v>1144</v>
      </c>
      <c r="H30" s="501">
        <v>6800000</v>
      </c>
      <c r="I30" s="708">
        <f t="shared" si="1"/>
        <v>6575600</v>
      </c>
      <c r="J30" s="781" t="s">
        <v>35</v>
      </c>
      <c r="K30" s="794"/>
    </row>
    <row r="31" spans="1:11" ht="39.950000000000003" customHeight="1" thickBot="1">
      <c r="A31" s="529"/>
      <c r="B31" s="472"/>
      <c r="C31" s="473"/>
      <c r="D31" s="499"/>
      <c r="E31" s="786"/>
      <c r="F31" s="529">
        <v>18</v>
      </c>
      <c r="G31" s="500" t="s">
        <v>1145</v>
      </c>
      <c r="H31" s="532">
        <v>5800000</v>
      </c>
      <c r="I31" s="708">
        <f t="shared" si="1"/>
        <v>5608600</v>
      </c>
      <c r="J31" s="781" t="s">
        <v>35</v>
      </c>
      <c r="K31" s="794"/>
    </row>
    <row r="32" spans="1:11" ht="39.950000000000003" customHeight="1" thickBot="1">
      <c r="A32" s="529"/>
      <c r="B32" s="472"/>
      <c r="C32" s="473"/>
      <c r="D32" s="499"/>
      <c r="E32" s="786"/>
      <c r="F32" s="529">
        <v>19</v>
      </c>
      <c r="G32" s="500" t="s">
        <v>1146</v>
      </c>
      <c r="H32" s="532">
        <v>6500000</v>
      </c>
      <c r="I32" s="708">
        <f t="shared" si="1"/>
        <v>6285500</v>
      </c>
      <c r="J32" s="781" t="s">
        <v>35</v>
      </c>
      <c r="K32" s="794"/>
    </row>
    <row r="33" spans="1:11" ht="39.950000000000003" customHeight="1" thickBot="1">
      <c r="A33" s="529"/>
      <c r="B33" s="472"/>
      <c r="C33" s="473"/>
      <c r="D33" s="499"/>
      <c r="E33" s="786"/>
      <c r="F33" s="529">
        <v>20</v>
      </c>
      <c r="G33" s="500" t="s">
        <v>1147</v>
      </c>
      <c r="H33" s="532">
        <v>6000000</v>
      </c>
      <c r="I33" s="708">
        <f t="shared" si="1"/>
        <v>5802000</v>
      </c>
      <c r="J33" s="781" t="s">
        <v>35</v>
      </c>
      <c r="K33" s="794"/>
    </row>
    <row r="34" spans="1:11" ht="39.950000000000003" customHeight="1" thickBot="1">
      <c r="A34" s="529"/>
      <c r="B34" s="472"/>
      <c r="C34" s="473"/>
      <c r="D34" s="499"/>
      <c r="E34" s="786"/>
      <c r="F34" s="529">
        <v>21</v>
      </c>
      <c r="G34" s="500" t="s">
        <v>1148</v>
      </c>
      <c r="H34" s="532">
        <v>5500000</v>
      </c>
      <c r="I34" s="708">
        <f t="shared" si="1"/>
        <v>5318500</v>
      </c>
      <c r="J34" s="781" t="s">
        <v>35</v>
      </c>
      <c r="K34" s="794"/>
    </row>
    <row r="35" spans="1:11" ht="39.950000000000003" customHeight="1" thickBot="1">
      <c r="A35" s="529"/>
      <c r="B35" s="472"/>
      <c r="C35" s="473"/>
      <c r="D35" s="672"/>
      <c r="E35" s="786"/>
      <c r="F35" s="529">
        <v>22</v>
      </c>
      <c r="G35" s="500" t="s">
        <v>1149</v>
      </c>
      <c r="H35" s="532">
        <v>5500000</v>
      </c>
      <c r="I35" s="708">
        <f t="shared" si="1"/>
        <v>5318500</v>
      </c>
      <c r="J35" s="781" t="s">
        <v>35</v>
      </c>
      <c r="K35" s="794"/>
    </row>
    <row r="36" spans="1:11" ht="39.950000000000003" customHeight="1" thickBot="1">
      <c r="A36" s="529"/>
      <c r="B36" s="472"/>
      <c r="C36" s="473"/>
      <c r="D36" s="672"/>
      <c r="E36" s="786"/>
      <c r="F36" s="529">
        <v>23</v>
      </c>
      <c r="G36" s="500" t="s">
        <v>1150</v>
      </c>
      <c r="H36" s="532">
        <v>8000000</v>
      </c>
      <c r="I36" s="708">
        <f t="shared" si="1"/>
        <v>7736000</v>
      </c>
      <c r="J36" s="781" t="s">
        <v>35</v>
      </c>
      <c r="K36" s="794"/>
    </row>
    <row r="37" spans="1:11" ht="39.950000000000003" customHeight="1" thickBot="1">
      <c r="A37" s="529"/>
      <c r="B37" s="472"/>
      <c r="C37" s="473"/>
      <c r="D37" s="672"/>
      <c r="E37" s="786"/>
      <c r="F37" s="529">
        <v>24</v>
      </c>
      <c r="G37" s="533" t="s">
        <v>1151</v>
      </c>
      <c r="H37" s="550">
        <v>4500000</v>
      </c>
      <c r="I37" s="708">
        <f t="shared" si="1"/>
        <v>4351500</v>
      </c>
      <c r="J37" s="781" t="s">
        <v>35</v>
      </c>
      <c r="K37" s="794"/>
    </row>
    <row r="38" spans="1:11" ht="39.950000000000003" customHeight="1" thickBot="1">
      <c r="A38" s="529"/>
      <c r="B38" s="472"/>
      <c r="C38" s="473"/>
      <c r="D38" s="672"/>
      <c r="E38" s="786"/>
      <c r="F38" s="529">
        <v>25</v>
      </c>
      <c r="G38" s="533" t="s">
        <v>1152</v>
      </c>
      <c r="H38" s="532">
        <v>6000000</v>
      </c>
      <c r="I38" s="708">
        <f t="shared" si="1"/>
        <v>5802000</v>
      </c>
      <c r="J38" s="781" t="s">
        <v>35</v>
      </c>
      <c r="K38" s="794"/>
    </row>
    <row r="39" spans="1:11" ht="39.950000000000003" customHeight="1" thickBot="1">
      <c r="A39" s="529"/>
      <c r="B39" s="472"/>
      <c r="C39" s="473"/>
      <c r="D39" s="672"/>
      <c r="E39" s="786"/>
      <c r="F39" s="529">
        <v>26</v>
      </c>
      <c r="G39" s="533" t="s">
        <v>1153</v>
      </c>
      <c r="H39" s="532">
        <f>8000000</f>
        <v>8000000</v>
      </c>
      <c r="I39" s="708">
        <f t="shared" si="1"/>
        <v>7736000</v>
      </c>
      <c r="J39" s="781" t="s">
        <v>35</v>
      </c>
      <c r="K39" s="794"/>
    </row>
    <row r="40" spans="1:11" ht="39.950000000000003" customHeight="1" thickBot="1">
      <c r="A40" s="529"/>
      <c r="B40" s="472"/>
      <c r="C40" s="473"/>
      <c r="D40" s="499"/>
      <c r="E40" s="786"/>
      <c r="F40" s="529">
        <v>27</v>
      </c>
      <c r="G40" s="500" t="s">
        <v>230</v>
      </c>
      <c r="H40" s="532">
        <v>9350000</v>
      </c>
      <c r="I40" s="501"/>
      <c r="J40" s="781" t="s">
        <v>35</v>
      </c>
      <c r="K40" s="794"/>
    </row>
    <row r="41" spans="1:11" ht="39.950000000000003" customHeight="1" thickBot="1">
      <c r="A41" s="529"/>
      <c r="B41" s="472"/>
      <c r="C41" s="473"/>
      <c r="D41" s="499"/>
      <c r="E41" s="786"/>
      <c r="F41" s="529">
        <v>28</v>
      </c>
      <c r="G41" s="500" t="s">
        <v>1192</v>
      </c>
      <c r="H41" s="532">
        <v>5610000</v>
      </c>
      <c r="I41" s="532"/>
      <c r="J41" s="781" t="s">
        <v>35</v>
      </c>
      <c r="K41" s="794"/>
    </row>
    <row r="42" spans="1:11" ht="39.950000000000003" customHeight="1" thickBot="1">
      <c r="A42" s="529"/>
      <c r="B42" s="472"/>
      <c r="C42" s="473"/>
      <c r="D42" s="499"/>
      <c r="E42" s="786"/>
      <c r="F42" s="529">
        <v>29</v>
      </c>
      <c r="G42" s="500" t="s">
        <v>1193</v>
      </c>
      <c r="H42" s="532">
        <f>9603000</f>
        <v>9603000</v>
      </c>
      <c r="I42" s="532"/>
      <c r="J42" s="781"/>
      <c r="K42" s="794"/>
    </row>
    <row r="43" spans="1:11" ht="39.950000000000003" customHeight="1" thickBot="1">
      <c r="A43" s="529"/>
      <c r="B43" s="472"/>
      <c r="C43" s="473"/>
      <c r="D43" s="672"/>
      <c r="E43" s="786"/>
      <c r="F43" s="529">
        <v>30</v>
      </c>
      <c r="G43" s="500" t="s">
        <v>1154</v>
      </c>
      <c r="H43" s="532">
        <v>7150000</v>
      </c>
      <c r="I43" s="501"/>
      <c r="J43" s="781" t="s">
        <v>35</v>
      </c>
      <c r="K43" s="794"/>
    </row>
    <row r="44" spans="1:11" ht="39.950000000000003" customHeight="1" thickBot="1">
      <c r="A44" s="529"/>
      <c r="B44" s="472"/>
      <c r="C44" s="473"/>
      <c r="D44" s="672"/>
      <c r="E44" s="786"/>
      <c r="F44" s="529">
        <v>31</v>
      </c>
      <c r="G44" s="500" t="s">
        <v>1155</v>
      </c>
      <c r="H44" s="532">
        <v>6050000</v>
      </c>
      <c r="I44" s="501"/>
      <c r="J44" s="781" t="s">
        <v>35</v>
      </c>
      <c r="K44" s="794"/>
    </row>
    <row r="45" spans="1:11" ht="39.950000000000003" customHeight="1" thickBot="1">
      <c r="A45" s="529"/>
      <c r="B45" s="472"/>
      <c r="C45" s="473"/>
      <c r="D45" s="672"/>
      <c r="E45" s="786"/>
      <c r="F45" s="529">
        <v>32</v>
      </c>
      <c r="G45" s="500" t="s">
        <v>927</v>
      </c>
      <c r="H45" s="532">
        <v>15000</v>
      </c>
      <c r="I45" s="532"/>
      <c r="J45" s="781" t="s">
        <v>35</v>
      </c>
      <c r="K45" s="794"/>
    </row>
    <row r="46" spans="1:11" ht="39.950000000000003" customHeight="1" thickBot="1">
      <c r="A46" s="529"/>
      <c r="B46" s="472"/>
      <c r="C46" s="473"/>
      <c r="D46" s="672"/>
      <c r="E46" s="786"/>
      <c r="F46" s="529">
        <v>33</v>
      </c>
      <c r="G46" s="500" t="s">
        <v>1183</v>
      </c>
      <c r="H46" s="532">
        <v>500000</v>
      </c>
      <c r="I46" s="532"/>
      <c r="J46" s="781" t="s">
        <v>35</v>
      </c>
      <c r="K46" s="794"/>
    </row>
    <row r="47" spans="1:11" ht="39.950000000000003" customHeight="1" thickBot="1">
      <c r="A47" s="529"/>
      <c r="B47" s="472"/>
      <c r="C47" s="473"/>
      <c r="D47" s="672"/>
      <c r="E47" s="786"/>
      <c r="F47" s="529">
        <v>34</v>
      </c>
      <c r="G47" s="534" t="s">
        <v>235</v>
      </c>
      <c r="H47" s="532">
        <f>15440480+3626230+829270+1906160</f>
        <v>21802140</v>
      </c>
      <c r="I47" s="532"/>
      <c r="J47" s="781" t="s">
        <v>35</v>
      </c>
      <c r="K47" s="794"/>
    </row>
    <row r="48" spans="1:11" ht="39.950000000000003" customHeight="1" thickBot="1">
      <c r="A48" s="529"/>
      <c r="B48" s="472"/>
      <c r="C48" s="473"/>
      <c r="D48" s="499"/>
      <c r="E48" s="786"/>
      <c r="F48" s="529">
        <v>35</v>
      </c>
      <c r="G48" s="500" t="s">
        <v>1185</v>
      </c>
      <c r="H48" s="532">
        <v>31341780</v>
      </c>
      <c r="I48" s="532"/>
      <c r="J48" s="781" t="s">
        <v>35</v>
      </c>
      <c r="K48" s="794"/>
    </row>
    <row r="49" spans="1:11" ht="39.950000000000003" customHeight="1" thickBot="1">
      <c r="A49" s="529"/>
      <c r="B49" s="472"/>
      <c r="C49" s="473"/>
      <c r="D49" s="499"/>
      <c r="E49" s="786"/>
      <c r="F49" s="529">
        <v>36</v>
      </c>
      <c r="G49" s="500" t="s">
        <v>1186</v>
      </c>
      <c r="H49" s="532">
        <v>32812540</v>
      </c>
      <c r="I49" s="532"/>
      <c r="J49" s="781" t="s">
        <v>35</v>
      </c>
      <c r="K49" s="794"/>
    </row>
    <row r="50" spans="1:11" ht="39.950000000000003" customHeight="1" thickBot="1">
      <c r="A50" s="540"/>
      <c r="B50" s="541"/>
      <c r="C50" s="542"/>
      <c r="D50" s="802"/>
      <c r="E50" s="786"/>
      <c r="F50" s="529">
        <v>37</v>
      </c>
      <c r="G50" s="574" t="s">
        <v>1187</v>
      </c>
      <c r="H50" s="552">
        <v>7845970</v>
      </c>
      <c r="I50" s="552"/>
      <c r="J50" s="805" t="s">
        <v>35</v>
      </c>
      <c r="K50" s="794"/>
    </row>
    <row r="51" spans="1:11" ht="39.950000000000003" customHeight="1" thickBot="1">
      <c r="A51" s="529"/>
      <c r="B51" s="472"/>
      <c r="C51" s="473"/>
      <c r="D51" s="499"/>
      <c r="E51" s="807"/>
      <c r="F51" s="529">
        <v>38</v>
      </c>
      <c r="G51" s="500" t="s">
        <v>1188</v>
      </c>
      <c r="H51" s="532">
        <v>2726640</v>
      </c>
      <c r="I51" s="532"/>
      <c r="J51" s="781" t="s">
        <v>35</v>
      </c>
      <c r="K51" s="794"/>
    </row>
    <row r="52" spans="1:11" ht="39.950000000000003" customHeight="1" thickBot="1">
      <c r="A52" s="529"/>
      <c r="B52" s="472"/>
      <c r="C52" s="473"/>
      <c r="D52" s="499"/>
      <c r="E52" s="807"/>
      <c r="F52" s="529">
        <v>39</v>
      </c>
      <c r="G52" s="500" t="s">
        <v>1222</v>
      </c>
      <c r="H52" s="532">
        <v>500000</v>
      </c>
      <c r="I52" s="532"/>
      <c r="J52" s="781" t="s">
        <v>35</v>
      </c>
      <c r="K52" s="794"/>
    </row>
    <row r="53" spans="1:11" ht="39.950000000000003" customHeight="1" thickBot="1">
      <c r="A53" s="529"/>
      <c r="B53" s="472"/>
      <c r="C53" s="473"/>
      <c r="D53" s="499"/>
      <c r="E53" s="807"/>
      <c r="F53" s="529">
        <v>40</v>
      </c>
      <c r="G53" s="500" t="s">
        <v>1223</v>
      </c>
      <c r="H53" s="532">
        <v>225095</v>
      </c>
      <c r="I53" s="532"/>
      <c r="J53" s="803">
        <v>44419</v>
      </c>
      <c r="K53" s="797"/>
    </row>
    <row r="54" spans="1:11" ht="39.950000000000003" customHeight="1" thickBot="1">
      <c r="A54" s="529"/>
      <c r="B54" s="472"/>
      <c r="C54" s="473"/>
      <c r="D54" s="499"/>
      <c r="E54" s="807"/>
      <c r="F54" s="529">
        <v>41</v>
      </c>
      <c r="G54" s="500" t="s">
        <v>1161</v>
      </c>
      <c r="H54" s="532">
        <v>8800000</v>
      </c>
      <c r="I54" s="532"/>
      <c r="J54" s="803">
        <v>44421</v>
      </c>
      <c r="K54" s="797"/>
    </row>
    <row r="55" spans="1:11" ht="39.950000000000003" customHeight="1" thickBot="1">
      <c r="A55" s="529"/>
      <c r="B55" s="472"/>
      <c r="C55" s="473"/>
      <c r="D55" s="499"/>
      <c r="E55" s="808"/>
      <c r="F55" s="529">
        <v>42</v>
      </c>
      <c r="G55" s="500" t="s">
        <v>1157</v>
      </c>
      <c r="H55" s="532">
        <v>23100000</v>
      </c>
      <c r="I55" s="532"/>
      <c r="J55" s="781" t="s">
        <v>1232</v>
      </c>
      <c r="K55" s="797"/>
    </row>
    <row r="56" spans="1:11" ht="39.950000000000003" customHeight="1" thickBot="1">
      <c r="A56" s="529"/>
      <c r="B56" s="472"/>
      <c r="C56" s="473"/>
      <c r="D56" s="810"/>
      <c r="E56" s="809"/>
      <c r="F56" s="529">
        <v>43</v>
      </c>
      <c r="G56" s="500" t="s">
        <v>1189</v>
      </c>
      <c r="H56" s="532">
        <v>57200000</v>
      </c>
      <c r="I56" s="532"/>
      <c r="J56" s="781" t="s">
        <v>1232</v>
      </c>
      <c r="K56" s="801"/>
    </row>
    <row r="57" spans="1:11" ht="39.950000000000003" customHeight="1" thickBot="1">
      <c r="A57" s="513"/>
      <c r="B57" s="514" t="s">
        <v>72</v>
      </c>
      <c r="C57" s="515">
        <f>SUM(C14:C55)</f>
        <v>320418991</v>
      </c>
      <c r="D57" s="731"/>
      <c r="E57" s="517"/>
      <c r="F57" s="518"/>
      <c r="G57" s="514" t="s">
        <v>72</v>
      </c>
      <c r="H57" s="519">
        <f>SUM(H14:H56)</f>
        <v>782158439</v>
      </c>
      <c r="I57" s="519">
        <f>SUM(H14,I15:I39,H40:H56)</f>
        <v>722623179.98300004</v>
      </c>
      <c r="J57" s="806" t="s">
        <v>73</v>
      </c>
      <c r="K57" s="521"/>
    </row>
    <row r="58" spans="1:11" ht="39.950000000000003" customHeight="1" thickBot="1">
      <c r="A58" s="864" t="s">
        <v>74</v>
      </c>
      <c r="B58" s="865"/>
      <c r="C58" s="865"/>
      <c r="D58" s="865"/>
      <c r="E58" s="865"/>
      <c r="F58" s="865"/>
      <c r="G58" s="865"/>
      <c r="H58" s="796"/>
      <c r="I58" s="796"/>
      <c r="J58" s="739"/>
      <c r="K58" s="740"/>
    </row>
    <row r="59" spans="1:11" ht="39.950000000000003" customHeight="1" thickBot="1">
      <c r="A59" s="861" t="s">
        <v>1241</v>
      </c>
      <c r="B59" s="862"/>
      <c r="C59" s="862"/>
      <c r="D59" s="862"/>
      <c r="E59" s="863"/>
      <c r="F59" s="858" t="s">
        <v>1242</v>
      </c>
      <c r="G59" s="859"/>
      <c r="H59" s="859"/>
      <c r="I59" s="859"/>
      <c r="J59" s="859"/>
      <c r="K59" s="860"/>
    </row>
    <row r="60" spans="1:11" ht="39.950000000000003" customHeight="1" thickBot="1">
      <c r="A60" s="459" t="s">
        <v>24</v>
      </c>
      <c r="B60" s="460" t="s">
        <v>25</v>
      </c>
      <c r="C60" s="461" t="s">
        <v>108</v>
      </c>
      <c r="D60" s="461" t="s">
        <v>27</v>
      </c>
      <c r="E60" s="795" t="s">
        <v>10</v>
      </c>
      <c r="F60" s="459" t="s">
        <v>24</v>
      </c>
      <c r="G60" s="460" t="s">
        <v>25</v>
      </c>
      <c r="H60" s="461" t="s">
        <v>108</v>
      </c>
      <c r="I60" s="461" t="s">
        <v>200</v>
      </c>
      <c r="J60" s="782" t="s">
        <v>655</v>
      </c>
      <c r="K60" s="795" t="s">
        <v>10</v>
      </c>
    </row>
    <row r="61" spans="1:11" ht="39.950000000000003" customHeight="1">
      <c r="A61" s="491">
        <v>1</v>
      </c>
      <c r="B61" s="472" t="s">
        <v>1171</v>
      </c>
      <c r="C61" s="488">
        <v>15400000</v>
      </c>
      <c r="D61" s="717" t="s">
        <v>1173</v>
      </c>
      <c r="E61" s="475"/>
      <c r="F61" s="491">
        <v>1</v>
      </c>
      <c r="G61" s="724" t="s">
        <v>995</v>
      </c>
      <c r="H61" s="536">
        <f>11000</f>
        <v>11000</v>
      </c>
      <c r="I61" s="576"/>
      <c r="J61" s="688" t="s">
        <v>1234</v>
      </c>
      <c r="K61" s="477"/>
    </row>
    <row r="62" spans="1:11" ht="39.950000000000003" customHeight="1">
      <c r="A62" s="491">
        <v>2</v>
      </c>
      <c r="B62" s="472" t="s">
        <v>1098</v>
      </c>
      <c r="C62" s="473">
        <v>880000</v>
      </c>
      <c r="D62" s="717" t="s">
        <v>35</v>
      </c>
      <c r="E62" s="475" t="s">
        <v>1040</v>
      </c>
      <c r="F62" s="529">
        <v>2</v>
      </c>
      <c r="G62" s="500" t="s">
        <v>1235</v>
      </c>
      <c r="H62" s="532">
        <v>519780</v>
      </c>
      <c r="I62" s="866"/>
      <c r="J62" s="675" t="s">
        <v>1236</v>
      </c>
      <c r="K62" s="497"/>
    </row>
    <row r="63" spans="1:11" ht="39.950000000000003" customHeight="1">
      <c r="A63" s="491">
        <v>3</v>
      </c>
      <c r="B63" s="472" t="s">
        <v>1238</v>
      </c>
      <c r="C63" s="473">
        <f>119724000</f>
        <v>119724000</v>
      </c>
      <c r="D63" s="717" t="s">
        <v>35</v>
      </c>
      <c r="E63" s="490"/>
      <c r="F63" s="529">
        <v>3</v>
      </c>
      <c r="G63" s="533" t="s">
        <v>58</v>
      </c>
      <c r="H63" s="532">
        <v>40000000</v>
      </c>
      <c r="I63" s="532"/>
      <c r="J63" s="675" t="s">
        <v>1237</v>
      </c>
      <c r="K63" s="497"/>
    </row>
    <row r="64" spans="1:11" ht="39.950000000000003" customHeight="1">
      <c r="A64" s="491">
        <v>4</v>
      </c>
      <c r="B64" s="472" t="s">
        <v>1095</v>
      </c>
      <c r="C64" s="473">
        <v>82500000</v>
      </c>
      <c r="D64" s="674" t="s">
        <v>1097</v>
      </c>
      <c r="E64" s="490"/>
      <c r="F64" s="529"/>
      <c r="G64" s="533"/>
      <c r="H64" s="532"/>
      <c r="I64" s="532"/>
      <c r="J64" s="675"/>
      <c r="K64" s="497"/>
    </row>
    <row r="65" spans="1:11" ht="39.950000000000003" customHeight="1">
      <c r="A65" s="491">
        <v>5</v>
      </c>
      <c r="B65" s="487" t="s">
        <v>1104</v>
      </c>
      <c r="C65" s="488">
        <v>6187500</v>
      </c>
      <c r="D65" s="717" t="s">
        <v>1107</v>
      </c>
      <c r="E65" s="475"/>
      <c r="F65" s="529"/>
      <c r="G65" s="533"/>
      <c r="H65" s="532"/>
      <c r="I65" s="503"/>
      <c r="J65" s="675"/>
      <c r="K65" s="497"/>
    </row>
    <row r="66" spans="1:11" ht="39.950000000000003" customHeight="1">
      <c r="A66" s="491">
        <v>6</v>
      </c>
      <c r="B66" s="472" t="s">
        <v>1176</v>
      </c>
      <c r="C66" s="473">
        <f>37500000*1.1</f>
        <v>41250000</v>
      </c>
      <c r="D66" s="672" t="s">
        <v>1178</v>
      </c>
      <c r="E66" s="475"/>
      <c r="F66" s="491"/>
      <c r="G66" s="534"/>
      <c r="H66" s="536"/>
      <c r="I66" s="536"/>
      <c r="J66" s="688"/>
      <c r="K66" s="497"/>
    </row>
    <row r="67" spans="1:11" ht="39.950000000000003" customHeight="1">
      <c r="A67" s="491">
        <v>7</v>
      </c>
      <c r="B67" s="472" t="s">
        <v>1177</v>
      </c>
      <c r="C67" s="473">
        <v>46376567</v>
      </c>
      <c r="D67" s="672" t="s">
        <v>35</v>
      </c>
      <c r="E67" s="475"/>
      <c r="F67" s="529"/>
      <c r="G67" s="500"/>
      <c r="H67" s="532"/>
      <c r="I67" s="532"/>
      <c r="J67" s="675"/>
      <c r="K67" s="477"/>
    </row>
    <row r="68" spans="1:11" ht="39.950000000000003" customHeight="1">
      <c r="A68" s="491">
        <v>8</v>
      </c>
      <c r="B68" s="472" t="s">
        <v>1179</v>
      </c>
      <c r="C68" s="473">
        <v>6270000</v>
      </c>
      <c r="D68" s="672" t="s">
        <v>35</v>
      </c>
      <c r="E68" s="475"/>
      <c r="F68" s="529"/>
      <c r="G68" s="500"/>
      <c r="H68" s="532"/>
      <c r="I68" s="532"/>
      <c r="J68" s="675"/>
      <c r="K68" s="497"/>
    </row>
    <row r="69" spans="1:11" ht="39.950000000000003" customHeight="1">
      <c r="A69" s="491">
        <v>9</v>
      </c>
      <c r="B69" s="487" t="s">
        <v>1105</v>
      </c>
      <c r="C69" s="488">
        <v>13785057</v>
      </c>
      <c r="D69" s="717" t="s">
        <v>1108</v>
      </c>
      <c r="E69" s="475"/>
      <c r="F69" s="529"/>
      <c r="G69" s="533"/>
      <c r="H69" s="532"/>
      <c r="I69" s="532"/>
      <c r="J69" s="675"/>
      <c r="K69" s="477"/>
    </row>
    <row r="70" spans="1:11" ht="39.950000000000003" customHeight="1">
      <c r="A70" s="491">
        <v>10</v>
      </c>
      <c r="B70" s="472" t="s">
        <v>1199</v>
      </c>
      <c r="C70" s="473">
        <v>22110000</v>
      </c>
      <c r="D70" s="672" t="s">
        <v>1202</v>
      </c>
      <c r="E70" s="490"/>
      <c r="F70" s="529"/>
      <c r="G70" s="533"/>
      <c r="H70" s="532"/>
      <c r="I70" s="532"/>
      <c r="J70" s="675"/>
      <c r="K70" s="477"/>
    </row>
    <row r="71" spans="1:11" ht="39.950000000000003" customHeight="1">
      <c r="A71" s="491">
        <v>11</v>
      </c>
      <c r="B71" s="472" t="s">
        <v>1226</v>
      </c>
      <c r="C71" s="473">
        <v>47300000</v>
      </c>
      <c r="D71" s="672" t="s">
        <v>35</v>
      </c>
      <c r="E71" s="490"/>
      <c r="F71" s="529"/>
      <c r="G71" s="533"/>
      <c r="H71" s="532"/>
      <c r="I71" s="532"/>
      <c r="J71" s="675"/>
      <c r="K71" s="781"/>
    </row>
    <row r="72" spans="1:11" ht="39.950000000000003" customHeight="1">
      <c r="A72" s="491">
        <v>12</v>
      </c>
      <c r="B72" s="472" t="s">
        <v>1227</v>
      </c>
      <c r="C72" s="473">
        <v>15620000</v>
      </c>
      <c r="D72" s="672" t="s">
        <v>35</v>
      </c>
      <c r="E72" s="475"/>
      <c r="F72" s="529"/>
      <c r="G72" s="533"/>
      <c r="H72" s="532"/>
      <c r="I72" s="532"/>
      <c r="J72" s="675"/>
      <c r="K72" s="477" t="s">
        <v>1165</v>
      </c>
    </row>
    <row r="73" spans="1:11" ht="39.950000000000003" customHeight="1">
      <c r="A73" s="491">
        <v>13</v>
      </c>
      <c r="B73" s="472" t="s">
        <v>1228</v>
      </c>
      <c r="C73" s="473">
        <v>10230000</v>
      </c>
      <c r="D73" s="672" t="s">
        <v>35</v>
      </c>
      <c r="E73" s="475"/>
      <c r="F73" s="529"/>
      <c r="G73" s="533"/>
      <c r="H73" s="532"/>
      <c r="I73" s="530"/>
      <c r="J73" s="675"/>
      <c r="K73" s="477" t="s">
        <v>1166</v>
      </c>
    </row>
    <row r="74" spans="1:11" ht="39.950000000000003" customHeight="1">
      <c r="A74" s="491">
        <v>14</v>
      </c>
      <c r="B74" s="472" t="s">
        <v>1229</v>
      </c>
      <c r="C74" s="473">
        <v>10340000</v>
      </c>
      <c r="D74" s="672" t="s">
        <v>35</v>
      </c>
      <c r="E74" s="475"/>
      <c r="F74" s="529"/>
      <c r="G74" s="533"/>
      <c r="H74" s="532"/>
      <c r="I74" s="530"/>
      <c r="J74" s="675"/>
      <c r="K74" s="477"/>
    </row>
    <row r="75" spans="1:11" ht="39.950000000000003" customHeight="1">
      <c r="A75" s="491">
        <v>15</v>
      </c>
      <c r="B75" s="472" t="s">
        <v>1230</v>
      </c>
      <c r="C75" s="473">
        <v>10505000</v>
      </c>
      <c r="D75" s="672" t="s">
        <v>35</v>
      </c>
      <c r="E75" s="475"/>
      <c r="F75" s="529"/>
      <c r="G75" s="533"/>
      <c r="H75" s="532"/>
      <c r="I75" s="530"/>
      <c r="J75" s="675"/>
      <c r="K75" s="477"/>
    </row>
    <row r="76" spans="1:11" ht="39.950000000000003" customHeight="1">
      <c r="A76" s="491">
        <v>16</v>
      </c>
      <c r="B76" s="472" t="s">
        <v>1102</v>
      </c>
      <c r="C76" s="473">
        <v>23100000</v>
      </c>
      <c r="D76" s="672" t="s">
        <v>1103</v>
      </c>
      <c r="E76" s="475"/>
      <c r="F76" s="529"/>
      <c r="G76" s="533"/>
      <c r="H76" s="532"/>
      <c r="I76" s="530"/>
      <c r="J76" s="675"/>
      <c r="K76" s="477"/>
    </row>
    <row r="77" spans="1:11" ht="39.950000000000003" customHeight="1">
      <c r="A77" s="491">
        <v>17</v>
      </c>
      <c r="B77" s="472" t="s">
        <v>1094</v>
      </c>
      <c r="C77" s="473">
        <v>10725000</v>
      </c>
      <c r="D77" s="672" t="s">
        <v>1215</v>
      </c>
      <c r="E77" s="475"/>
      <c r="F77" s="529"/>
      <c r="G77" s="500"/>
      <c r="H77" s="501"/>
      <c r="I77" s="530"/>
      <c r="J77" s="675"/>
      <c r="K77" s="477"/>
    </row>
    <row r="78" spans="1:11" ht="39.950000000000003" customHeight="1">
      <c r="A78" s="491">
        <v>18</v>
      </c>
      <c r="B78" s="487" t="s">
        <v>1128</v>
      </c>
      <c r="C78" s="488">
        <v>6187500</v>
      </c>
      <c r="D78" s="672" t="s">
        <v>1175</v>
      </c>
      <c r="E78" s="475"/>
      <c r="F78" s="529"/>
      <c r="G78" s="500"/>
      <c r="H78" s="501"/>
      <c r="I78" s="530"/>
      <c r="J78" s="675"/>
      <c r="K78" s="477"/>
    </row>
    <row r="79" spans="1:11" ht="39.950000000000003" customHeight="1">
      <c r="A79" s="491">
        <v>19</v>
      </c>
      <c r="B79" s="472" t="s">
        <v>1106</v>
      </c>
      <c r="C79" s="473">
        <v>12416316</v>
      </c>
      <c r="D79" s="672" t="s">
        <v>1174</v>
      </c>
      <c r="E79" s="475"/>
      <c r="F79" s="529"/>
      <c r="G79" s="500"/>
      <c r="H79" s="532"/>
      <c r="I79" s="530"/>
      <c r="J79" s="675"/>
      <c r="K79" s="477"/>
    </row>
    <row r="80" spans="1:11" ht="39.950000000000003" customHeight="1">
      <c r="A80" s="491">
        <v>20</v>
      </c>
      <c r="B80" s="472" t="s">
        <v>1180</v>
      </c>
      <c r="C80" s="716">
        <f>4400000</f>
        <v>4400000</v>
      </c>
      <c r="D80" s="672" t="s">
        <v>140</v>
      </c>
      <c r="E80" s="475"/>
      <c r="F80" s="529"/>
      <c r="G80" s="500"/>
      <c r="H80" s="532"/>
      <c r="I80" s="530"/>
      <c r="J80" s="675"/>
      <c r="K80" s="477"/>
    </row>
    <row r="81" spans="1:11" ht="39.950000000000003" customHeight="1" thickBot="1">
      <c r="A81" s="491">
        <v>21</v>
      </c>
      <c r="B81" s="472" t="s">
        <v>1196</v>
      </c>
      <c r="C81" s="473">
        <v>6305000</v>
      </c>
      <c r="D81" s="672" t="s">
        <v>140</v>
      </c>
      <c r="E81" s="490"/>
      <c r="F81" s="529"/>
      <c r="G81" s="500"/>
      <c r="H81" s="532"/>
      <c r="I81" s="530"/>
      <c r="J81" s="675"/>
      <c r="K81" s="477"/>
    </row>
    <row r="82" spans="1:11" ht="39.75" customHeight="1" thickBot="1">
      <c r="A82" s="513"/>
      <c r="B82" s="514" t="s">
        <v>72</v>
      </c>
      <c r="C82" s="519">
        <f>SUM(C61:C81)</f>
        <v>511611940</v>
      </c>
      <c r="D82" s="516"/>
      <c r="E82" s="517"/>
      <c r="F82" s="729"/>
      <c r="G82" s="730" t="s">
        <v>72</v>
      </c>
      <c r="H82" s="516">
        <f>SUM(H61:H81)</f>
        <v>40530780</v>
      </c>
      <c r="I82" s="516"/>
      <c r="J82" s="516"/>
      <c r="K82" s="731"/>
    </row>
    <row r="83" spans="1:11">
      <c r="H83" t="s">
        <v>1091</v>
      </c>
    </row>
  </sheetData>
  <mergeCells count="17">
    <mergeCell ref="A2:K3"/>
    <mergeCell ref="A5:J5"/>
    <mergeCell ref="A6:G6"/>
    <mergeCell ref="A7:B7"/>
    <mergeCell ref="C7:E7"/>
    <mergeCell ref="F7:G7"/>
    <mergeCell ref="H7:K7"/>
    <mergeCell ref="A58:G58"/>
    <mergeCell ref="A59:E59"/>
    <mergeCell ref="F59:K59"/>
    <mergeCell ref="A8:B9"/>
    <mergeCell ref="C8:E9"/>
    <mergeCell ref="F8:G9"/>
    <mergeCell ref="H8:K9"/>
    <mergeCell ref="A11:G11"/>
    <mergeCell ref="A12:E12"/>
    <mergeCell ref="F12:K12"/>
  </mergeCells>
  <phoneticPr fontId="2" type="noConversion"/>
  <printOptions horizontalCentered="1"/>
  <pageMargins left="0" right="0" top="0" bottom="0" header="0" footer="0"/>
  <pageSetup paperSize="9" scale="38" orientation="portrait" r:id="rId1"/>
  <rowBreaks count="1" manualBreakCount="1">
    <brk id="57" max="9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C566F-F377-400F-BDE2-967A0752145F}">
  <sheetPr>
    <tabColor rgb="FF00B0F0"/>
  </sheetPr>
  <dimension ref="A1:X18"/>
  <sheetViews>
    <sheetView zoomScale="85" zoomScaleNormal="85" workbookViewId="0">
      <selection activeCell="X2" sqref="X2"/>
    </sheetView>
  </sheetViews>
  <sheetFormatPr defaultRowHeight="13.5"/>
  <cols>
    <col min="1" max="1" width="15" bestFit="1" customWidth="1"/>
    <col min="2" max="4" width="13.875" hidden="1" customWidth="1"/>
    <col min="5" max="5" width="15" hidden="1" customWidth="1"/>
    <col min="6" max="6" width="12.75" hidden="1" customWidth="1"/>
    <col min="7" max="9" width="13.875" hidden="1" customWidth="1"/>
    <col min="10" max="11" width="15" hidden="1" customWidth="1"/>
    <col min="12" max="12" width="15.875" hidden="1" customWidth="1"/>
    <col min="13" max="14" width="15" hidden="1" customWidth="1"/>
    <col min="15" max="15" width="15.125" hidden="1" customWidth="1"/>
    <col min="16" max="17" width="15" hidden="1" customWidth="1"/>
    <col min="18" max="18" width="15" customWidth="1"/>
    <col min="19" max="19" width="15" bestFit="1" customWidth="1"/>
    <col min="20" max="20" width="13.875" bestFit="1" customWidth="1"/>
    <col min="21" max="23" width="15" bestFit="1" customWidth="1"/>
    <col min="24" max="24" width="13.875" bestFit="1" customWidth="1"/>
  </cols>
  <sheetData>
    <row r="1" spans="1:24">
      <c r="B1" s="289" t="s">
        <v>936</v>
      </c>
      <c r="C1" s="289" t="s">
        <v>937</v>
      </c>
      <c r="D1" s="289" t="s">
        <v>938</v>
      </c>
      <c r="E1" s="290" t="s">
        <v>939</v>
      </c>
      <c r="F1" s="289" t="s">
        <v>940</v>
      </c>
      <c r="G1" s="291" t="s">
        <v>941</v>
      </c>
      <c r="H1" s="292" t="s">
        <v>942</v>
      </c>
      <c r="I1" s="290" t="s">
        <v>943</v>
      </c>
      <c r="J1" s="290" t="s">
        <v>944</v>
      </c>
      <c r="K1" s="372" t="s">
        <v>945</v>
      </c>
      <c r="L1" s="290" t="s">
        <v>946</v>
      </c>
      <c r="M1" s="290" t="s">
        <v>947</v>
      </c>
      <c r="N1" s="290" t="s">
        <v>948</v>
      </c>
      <c r="O1" s="289" t="s">
        <v>949</v>
      </c>
      <c r="P1" s="290" t="s">
        <v>950</v>
      </c>
      <c r="Q1" s="290" t="s">
        <v>951</v>
      </c>
      <c r="R1" s="712" t="s">
        <v>952</v>
      </c>
      <c r="S1" s="291" t="s">
        <v>961</v>
      </c>
      <c r="T1" s="291" t="s">
        <v>1011</v>
      </c>
      <c r="U1" s="291" t="s">
        <v>1080</v>
      </c>
      <c r="V1" s="372" t="s">
        <v>1131</v>
      </c>
      <c r="W1" s="291" t="s">
        <v>1208</v>
      </c>
      <c r="X1" s="372" t="s">
        <v>1233</v>
      </c>
    </row>
    <row r="2" spans="1:24">
      <c r="A2" t="s">
        <v>953</v>
      </c>
      <c r="B2" s="137">
        <v>-48879592</v>
      </c>
      <c r="C2" s="137">
        <v>-27075083</v>
      </c>
      <c r="D2" s="137">
        <v>-12282371</v>
      </c>
      <c r="E2" s="137">
        <v>173636199</v>
      </c>
      <c r="F2" s="137">
        <v>7407786</v>
      </c>
      <c r="G2" s="212">
        <v>-24199518</v>
      </c>
      <c r="H2" s="212">
        <v>49484849</v>
      </c>
      <c r="I2" s="212">
        <v>80692168</v>
      </c>
      <c r="J2" s="212">
        <v>149512426</v>
      </c>
      <c r="K2" s="212">
        <v>-7964391</v>
      </c>
      <c r="L2" s="212">
        <v>-23826874</v>
      </c>
      <c r="M2" s="212">
        <v>13915325</v>
      </c>
      <c r="N2" s="212">
        <v>93611875</v>
      </c>
      <c r="O2" s="138">
        <v>-14475849</v>
      </c>
      <c r="P2" s="138">
        <v>720078</v>
      </c>
      <c r="Q2" s="138">
        <v>67663827</v>
      </c>
      <c r="R2" s="288">
        <v>16494313</v>
      </c>
      <c r="S2" s="288">
        <v>-43368624</v>
      </c>
      <c r="T2" s="288">
        <v>-39184841</v>
      </c>
      <c r="U2" s="288">
        <v>-33326315</v>
      </c>
      <c r="V2" s="288">
        <f>93206334-37120000</f>
        <v>56086334</v>
      </c>
      <c r="W2" s="601">
        <f>356348000+48334050</f>
        <v>404682050</v>
      </c>
      <c r="X2" s="601">
        <v>2477861</v>
      </c>
    </row>
    <row r="3" spans="1:24">
      <c r="A3" t="s">
        <v>954</v>
      </c>
      <c r="B3" s="137"/>
      <c r="C3" s="137"/>
      <c r="D3" s="137"/>
      <c r="E3" s="137"/>
      <c r="F3" s="137"/>
      <c r="G3" s="212"/>
      <c r="H3" s="212"/>
      <c r="I3" s="212"/>
      <c r="J3" s="212"/>
      <c r="K3" s="212"/>
      <c r="L3" s="212"/>
      <c r="M3" s="137">
        <v>100000000</v>
      </c>
      <c r="N3" s="137">
        <v>100000000</v>
      </c>
      <c r="O3" s="572">
        <v>100000000</v>
      </c>
      <c r="P3" s="572">
        <v>100006027</v>
      </c>
      <c r="Q3" s="572">
        <v>100006027</v>
      </c>
      <c r="R3" s="573">
        <v>100006027</v>
      </c>
      <c r="S3" s="573">
        <v>6027</v>
      </c>
      <c r="T3" s="573">
        <v>6027</v>
      </c>
      <c r="U3" s="573">
        <v>6027</v>
      </c>
      <c r="V3" s="573">
        <v>6027</v>
      </c>
      <c r="W3" s="784">
        <v>6027</v>
      </c>
      <c r="X3" s="784">
        <v>6027</v>
      </c>
    </row>
    <row r="4" spans="1:24">
      <c r="A4" t="s">
        <v>955</v>
      </c>
      <c r="B4" s="137">
        <v>0</v>
      </c>
      <c r="C4" s="137">
        <v>9697</v>
      </c>
      <c r="D4" s="137">
        <v>19288992</v>
      </c>
      <c r="E4" s="212">
        <v>0</v>
      </c>
      <c r="F4" s="212">
        <v>0</v>
      </c>
      <c r="G4" s="212">
        <v>10160</v>
      </c>
      <c r="H4" s="212">
        <v>10160</v>
      </c>
      <c r="I4" s="212">
        <v>335160</v>
      </c>
      <c r="J4" s="212">
        <v>320660</v>
      </c>
      <c r="K4" s="212">
        <v>318660</v>
      </c>
      <c r="L4" s="212">
        <v>316660</v>
      </c>
      <c r="M4" s="212">
        <v>118016660</v>
      </c>
      <c r="N4" s="551">
        <v>126666644</v>
      </c>
      <c r="O4" s="138">
        <v>0</v>
      </c>
      <c r="P4" s="138">
        <v>4830</v>
      </c>
      <c r="Q4" s="138">
        <v>192590346</v>
      </c>
      <c r="R4" s="288">
        <v>381787662</v>
      </c>
      <c r="S4" s="288">
        <v>115872462</v>
      </c>
      <c r="T4" s="288">
        <v>0</v>
      </c>
      <c r="U4" s="288">
        <v>12686557</v>
      </c>
      <c r="V4" s="764">
        <f>75724000</f>
        <v>75724000</v>
      </c>
      <c r="W4" s="785" t="s">
        <v>958</v>
      </c>
      <c r="X4" s="785" t="s">
        <v>958</v>
      </c>
    </row>
    <row r="5" spans="1:24">
      <c r="A5" t="s">
        <v>956</v>
      </c>
      <c r="B5" s="137">
        <v>274</v>
      </c>
      <c r="C5" s="137">
        <v>1985167</v>
      </c>
      <c r="D5" s="137">
        <v>3169167</v>
      </c>
      <c r="E5" s="212">
        <v>1503167</v>
      </c>
      <c r="F5" s="212">
        <v>1503167</v>
      </c>
      <c r="G5" s="212">
        <v>1503167</v>
      </c>
      <c r="H5" s="212">
        <v>3169167</v>
      </c>
      <c r="I5" s="212">
        <v>2489167</v>
      </c>
      <c r="J5" s="212">
        <v>5949167</v>
      </c>
      <c r="K5" s="212">
        <v>949167</v>
      </c>
      <c r="L5" s="212">
        <v>949167</v>
      </c>
      <c r="M5" s="212">
        <v>949167</v>
      </c>
      <c r="N5" s="212">
        <v>949167</v>
      </c>
      <c r="O5" s="138">
        <v>949167</v>
      </c>
      <c r="P5" s="138">
        <v>2149667</v>
      </c>
      <c r="Q5" s="138">
        <v>5049667</v>
      </c>
      <c r="R5" s="288">
        <v>6904667</v>
      </c>
      <c r="S5" s="288">
        <v>6904667</v>
      </c>
      <c r="T5" s="288">
        <v>6904667</v>
      </c>
      <c r="U5" s="288">
        <v>6904667</v>
      </c>
      <c r="V5" s="292" t="s">
        <v>958</v>
      </c>
      <c r="W5" s="785" t="s">
        <v>958</v>
      </c>
      <c r="X5" s="785" t="s">
        <v>958</v>
      </c>
    </row>
    <row r="6" spans="1:24">
      <c r="A6" t="s">
        <v>957</v>
      </c>
      <c r="B6" s="137">
        <v>0</v>
      </c>
      <c r="C6" s="137">
        <v>0</v>
      </c>
      <c r="D6" s="137">
        <v>0</v>
      </c>
      <c r="E6" s="212">
        <v>0</v>
      </c>
      <c r="F6" s="212">
        <v>0</v>
      </c>
      <c r="G6" s="212">
        <v>0</v>
      </c>
      <c r="H6" s="212">
        <v>0</v>
      </c>
      <c r="I6" s="212">
        <v>0</v>
      </c>
      <c r="J6" s="212">
        <v>0</v>
      </c>
      <c r="K6" s="212">
        <v>487575</v>
      </c>
      <c r="L6" s="457" t="s">
        <v>958</v>
      </c>
      <c r="M6" s="457" t="s">
        <v>958</v>
      </c>
      <c r="N6" s="457" t="s">
        <v>958</v>
      </c>
      <c r="O6" s="458" t="s">
        <v>958</v>
      </c>
      <c r="P6" s="458" t="s">
        <v>958</v>
      </c>
      <c r="Q6" s="458">
        <v>10</v>
      </c>
      <c r="R6" s="457">
        <v>10</v>
      </c>
      <c r="S6" s="292" t="s">
        <v>989</v>
      </c>
      <c r="T6" s="292" t="s">
        <v>989</v>
      </c>
      <c r="U6" s="292" t="s">
        <v>958</v>
      </c>
      <c r="V6" s="292" t="s">
        <v>958</v>
      </c>
      <c r="W6" s="785" t="s">
        <v>958</v>
      </c>
      <c r="X6" s="785" t="s">
        <v>958</v>
      </c>
    </row>
    <row r="7" spans="1:24">
      <c r="A7" t="s">
        <v>959</v>
      </c>
      <c r="B7" s="137">
        <v>3854</v>
      </c>
      <c r="C7" s="137">
        <v>3854</v>
      </c>
      <c r="D7" s="137">
        <v>3854</v>
      </c>
      <c r="E7" s="212">
        <v>3854</v>
      </c>
      <c r="F7" s="212">
        <v>3854</v>
      </c>
      <c r="G7" s="212">
        <v>7253074</v>
      </c>
      <c r="H7" s="212">
        <v>7253133</v>
      </c>
      <c r="I7" s="212">
        <v>7253133</v>
      </c>
      <c r="J7" s="212">
        <v>3413</v>
      </c>
      <c r="K7" s="212">
        <v>3413</v>
      </c>
      <c r="L7" s="212">
        <v>3711</v>
      </c>
      <c r="M7" s="212">
        <v>6548711</v>
      </c>
      <c r="N7" s="212">
        <v>6548711</v>
      </c>
      <c r="O7" s="138">
        <v>3211</v>
      </c>
      <c r="P7" s="138">
        <v>3211</v>
      </c>
      <c r="Q7" s="138">
        <v>3444</v>
      </c>
      <c r="R7" s="288">
        <v>3444</v>
      </c>
      <c r="S7" s="288">
        <v>3444</v>
      </c>
      <c r="T7" s="288">
        <v>3444</v>
      </c>
      <c r="U7" s="288">
        <v>3444</v>
      </c>
      <c r="V7" s="288">
        <v>3444</v>
      </c>
      <c r="W7" s="288">
        <v>3444</v>
      </c>
      <c r="X7" s="288">
        <v>3444</v>
      </c>
    </row>
    <row r="8" spans="1:24">
      <c r="A8" t="s">
        <v>960</v>
      </c>
      <c r="B8" s="136">
        <v>26122</v>
      </c>
      <c r="C8" s="137">
        <v>29164</v>
      </c>
      <c r="D8" s="137">
        <v>29164</v>
      </c>
      <c r="E8" s="212">
        <v>29164</v>
      </c>
      <c r="F8" s="212">
        <v>29164</v>
      </c>
      <c r="G8" s="212">
        <v>29164</v>
      </c>
      <c r="H8" s="212">
        <v>29164</v>
      </c>
      <c r="I8" s="212">
        <v>29164</v>
      </c>
      <c r="J8" s="212">
        <v>29164</v>
      </c>
      <c r="K8" s="212">
        <v>29164</v>
      </c>
      <c r="L8" s="212">
        <v>29164</v>
      </c>
      <c r="M8" s="212">
        <v>29164</v>
      </c>
      <c r="N8" s="551">
        <v>10450935</v>
      </c>
      <c r="O8" s="573">
        <v>29164</v>
      </c>
      <c r="P8" s="573">
        <v>33250</v>
      </c>
      <c r="Q8" s="601">
        <v>6338250</v>
      </c>
      <c r="R8" s="573">
        <v>0</v>
      </c>
      <c r="S8" s="573">
        <v>0</v>
      </c>
      <c r="T8" s="573">
        <v>0</v>
      </c>
      <c r="U8" s="573">
        <v>6305000</v>
      </c>
      <c r="V8" s="763">
        <v>6500000</v>
      </c>
      <c r="W8" s="785" t="s">
        <v>958</v>
      </c>
      <c r="X8" s="785" t="s">
        <v>958</v>
      </c>
    </row>
    <row r="9" spans="1:24">
      <c r="B9" s="138">
        <f>SUM(B2:B8)</f>
        <v>-48849342</v>
      </c>
      <c r="C9" s="138">
        <f t="shared" ref="C9:D9" si="0">SUM(C2:C8)</f>
        <v>-25047201</v>
      </c>
      <c r="D9" s="138">
        <f t="shared" si="0"/>
        <v>10208806</v>
      </c>
      <c r="E9" s="138">
        <f t="shared" ref="E9:M9" si="1">SUM(E2:E8)</f>
        <v>175172384</v>
      </c>
      <c r="F9" s="138">
        <f t="shared" si="1"/>
        <v>8943971</v>
      </c>
      <c r="G9" s="288">
        <f t="shared" si="1"/>
        <v>-15403953</v>
      </c>
      <c r="H9" s="288">
        <f t="shared" si="1"/>
        <v>59946473</v>
      </c>
      <c r="I9" s="288">
        <f t="shared" si="1"/>
        <v>90798792</v>
      </c>
      <c r="J9" s="288">
        <f t="shared" si="1"/>
        <v>155814830</v>
      </c>
      <c r="K9" s="288">
        <f t="shared" si="1"/>
        <v>-6176412</v>
      </c>
      <c r="L9" s="288">
        <f t="shared" si="1"/>
        <v>-22528172</v>
      </c>
      <c r="M9" s="458">
        <f t="shared" si="1"/>
        <v>239459027</v>
      </c>
      <c r="N9" s="458">
        <f t="shared" ref="N9:T9" si="2">SUM(N2:N8)</f>
        <v>338227332</v>
      </c>
      <c r="O9" s="458">
        <f t="shared" si="2"/>
        <v>86505693</v>
      </c>
      <c r="P9" s="458">
        <f t="shared" si="2"/>
        <v>102917063</v>
      </c>
      <c r="Q9" s="458">
        <f t="shared" si="2"/>
        <v>371651571</v>
      </c>
      <c r="R9" s="138">
        <f t="shared" si="2"/>
        <v>505196123</v>
      </c>
      <c r="S9" s="138">
        <f t="shared" si="2"/>
        <v>79417976</v>
      </c>
      <c r="T9" s="288">
        <f t="shared" si="2"/>
        <v>-32270703</v>
      </c>
      <c r="U9" s="288">
        <f>SUM(U2:U8)</f>
        <v>-7420620</v>
      </c>
      <c r="V9" s="288">
        <f>SUM(V2:V8)</f>
        <v>138319805</v>
      </c>
      <c r="W9" s="288">
        <f>SUM(W2:W8)</f>
        <v>404691521</v>
      </c>
      <c r="X9" s="288">
        <f>SUM(X2:X8)</f>
        <v>2487332</v>
      </c>
    </row>
    <row r="10" spans="1:24">
      <c r="J10" s="457"/>
      <c r="K10" s="457"/>
      <c r="L10" s="457"/>
      <c r="M10" s="457"/>
      <c r="T10" s="457"/>
    </row>
    <row r="11" spans="1:24">
      <c r="J11" s="457"/>
      <c r="K11" s="457"/>
      <c r="L11" s="457"/>
      <c r="M11" s="457"/>
    </row>
    <row r="14" spans="1:24">
      <c r="T14" t="s">
        <v>1087</v>
      </c>
      <c r="U14" s="137">
        <v>50000000</v>
      </c>
    </row>
    <row r="15" spans="1:24">
      <c r="T15" t="s">
        <v>1088</v>
      </c>
      <c r="U15" s="137">
        <v>52426567</v>
      </c>
    </row>
    <row r="16" spans="1:24">
      <c r="T16" t="s">
        <v>1089</v>
      </c>
      <c r="U16" s="138">
        <v>7469409</v>
      </c>
    </row>
    <row r="17" spans="21:21">
      <c r="U17" s="601">
        <f>SUM(U14:U16)</f>
        <v>109895976</v>
      </c>
    </row>
    <row r="18" spans="21:21">
      <c r="U18" s="137">
        <f>106261656</f>
        <v>106261656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05C89-8F87-4B98-BF47-679B763159BB}">
  <sheetPr>
    <tabColor rgb="FF00B0F0"/>
  </sheetPr>
  <dimension ref="A1:T87"/>
  <sheetViews>
    <sheetView view="pageBreakPreview" topLeftCell="A3" zoomScaleNormal="100" zoomScaleSheetLayoutView="100" workbookViewId="0">
      <selection activeCell="G24" sqref="G24:H25"/>
    </sheetView>
  </sheetViews>
  <sheetFormatPr defaultRowHeight="16.5"/>
  <cols>
    <col min="1" max="1" width="4.5" customWidth="1"/>
    <col min="2" max="2" width="43.5" customWidth="1"/>
    <col min="3" max="5" width="17.125" customWidth="1"/>
    <col min="6" max="6" width="4.5" customWidth="1"/>
    <col min="7" max="7" width="40.875" customWidth="1"/>
    <col min="8" max="8" width="17.25" customWidth="1"/>
    <col min="9" max="10" width="17.25" style="13" customWidth="1"/>
  </cols>
  <sheetData>
    <row r="1" spans="1:11" ht="36.75" customHeight="1"/>
    <row r="2" spans="1:11" ht="21.95" customHeight="1">
      <c r="A2" s="811" t="s">
        <v>14</v>
      </c>
      <c r="B2" s="811"/>
      <c r="C2" s="811"/>
      <c r="D2" s="811"/>
      <c r="E2" s="811"/>
      <c r="F2" s="811"/>
      <c r="G2" s="811"/>
      <c r="H2" s="811"/>
      <c r="I2" s="811"/>
      <c r="J2" s="811"/>
    </row>
    <row r="3" spans="1:11" ht="12" customHeight="1">
      <c r="A3" s="811"/>
      <c r="B3" s="811"/>
      <c r="C3" s="811"/>
      <c r="D3" s="811"/>
      <c r="E3" s="811"/>
      <c r="F3" s="811"/>
      <c r="G3" s="811"/>
      <c r="H3" s="811"/>
      <c r="I3" s="811"/>
      <c r="J3" s="811"/>
    </row>
    <row r="4" spans="1:11" ht="21.75" customHeight="1">
      <c r="A4" s="1"/>
      <c r="B4" s="1"/>
      <c r="C4" s="1"/>
      <c r="D4" s="1"/>
      <c r="E4" s="1"/>
      <c r="F4" s="1"/>
      <c r="G4" s="1"/>
      <c r="H4" s="1"/>
      <c r="I4" s="1"/>
      <c r="J4" s="1"/>
    </row>
    <row r="5" spans="1:11" ht="18" customHeight="1">
      <c r="A5" s="818" t="s">
        <v>105</v>
      </c>
      <c r="B5" s="818"/>
      <c r="C5" s="818"/>
      <c r="D5" s="818"/>
      <c r="E5" s="818"/>
      <c r="F5" s="818"/>
      <c r="G5" s="818"/>
      <c r="H5" s="818"/>
      <c r="I5" s="818"/>
      <c r="J5" s="689"/>
    </row>
    <row r="6" spans="1:11" ht="18" customHeight="1" thickBot="1">
      <c r="A6" s="818" t="s">
        <v>16</v>
      </c>
      <c r="B6" s="819"/>
      <c r="C6" s="819"/>
      <c r="D6" s="819"/>
      <c r="E6" s="819"/>
      <c r="F6" s="819"/>
      <c r="G6" s="819"/>
      <c r="H6" s="690"/>
      <c r="I6" s="3"/>
      <c r="J6" s="3"/>
    </row>
    <row r="7" spans="1:11" ht="27.75" customHeight="1" thickBot="1">
      <c r="A7" s="843" t="s">
        <v>17</v>
      </c>
      <c r="B7" s="844"/>
      <c r="C7" s="837" t="s">
        <v>18</v>
      </c>
      <c r="D7" s="828"/>
      <c r="E7" s="838"/>
      <c r="F7" s="837" t="s">
        <v>19</v>
      </c>
      <c r="G7" s="838"/>
      <c r="H7" s="828" t="s">
        <v>20</v>
      </c>
      <c r="I7" s="828"/>
      <c r="J7" s="829"/>
    </row>
    <row r="8" spans="1:11" ht="18" customHeight="1" thickTop="1" thickBot="1">
      <c r="A8" s="824">
        <f>'3월19일'!$H$7</f>
        <v>-25047201</v>
      </c>
      <c r="B8" s="825"/>
      <c r="C8" s="812">
        <f>C43</f>
        <v>76698961</v>
      </c>
      <c r="D8" s="813"/>
      <c r="E8" s="814"/>
      <c r="F8" s="839">
        <f>SUM(H43)</f>
        <v>41442954</v>
      </c>
      <c r="G8" s="840"/>
      <c r="H8" s="830">
        <f>SUM(A8:E9)-F8</f>
        <v>10208806</v>
      </c>
      <c r="I8" s="830"/>
      <c r="J8" s="831"/>
    </row>
    <row r="9" spans="1:11" ht="22.5" customHeight="1" thickTop="1" thickBot="1">
      <c r="A9" s="826"/>
      <c r="B9" s="827"/>
      <c r="C9" s="815"/>
      <c r="D9" s="816"/>
      <c r="E9" s="817"/>
      <c r="F9" s="841"/>
      <c r="G9" s="842"/>
      <c r="H9" s="832"/>
      <c r="I9" s="832"/>
      <c r="J9" s="833"/>
    </row>
    <row r="10" spans="1:11" ht="18" customHeight="1">
      <c r="A10" s="689"/>
      <c r="B10" s="690"/>
      <c r="C10" s="690"/>
      <c r="D10" s="690"/>
      <c r="E10" s="690"/>
      <c r="F10" s="690"/>
      <c r="G10" s="690"/>
      <c r="H10" s="690"/>
      <c r="I10" s="23"/>
      <c r="J10" s="23"/>
    </row>
    <row r="11" spans="1:11" ht="32.25" customHeight="1" thickBot="1">
      <c r="A11" s="818" t="s">
        <v>21</v>
      </c>
      <c r="B11" s="819"/>
      <c r="C11" s="819"/>
      <c r="D11" s="819"/>
      <c r="E11" s="819"/>
      <c r="F11" s="819"/>
      <c r="G11" s="819"/>
      <c r="H11" s="690"/>
      <c r="I11" s="3"/>
      <c r="J11" s="3"/>
    </row>
    <row r="12" spans="1:11" ht="32.25" customHeight="1">
      <c r="A12" s="834" t="s">
        <v>106</v>
      </c>
      <c r="B12" s="835"/>
      <c r="C12" s="835"/>
      <c r="D12" s="835"/>
      <c r="E12" s="836"/>
      <c r="F12" s="835" t="s">
        <v>107</v>
      </c>
      <c r="G12" s="835"/>
      <c r="H12" s="835"/>
      <c r="I12" s="835"/>
      <c r="J12" s="836"/>
    </row>
    <row r="13" spans="1:11" ht="32.25" customHeight="1" thickBot="1">
      <c r="A13" s="25" t="s">
        <v>24</v>
      </c>
      <c r="B13" s="28" t="s">
        <v>25</v>
      </c>
      <c r="C13" s="26" t="s">
        <v>108</v>
      </c>
      <c r="D13" s="26" t="s">
        <v>27</v>
      </c>
      <c r="E13" s="48" t="s">
        <v>10</v>
      </c>
      <c r="F13" s="88" t="s">
        <v>24</v>
      </c>
      <c r="G13" s="28" t="s">
        <v>25</v>
      </c>
      <c r="H13" s="26" t="s">
        <v>26</v>
      </c>
      <c r="I13" s="26" t="s">
        <v>27</v>
      </c>
      <c r="J13" s="48" t="s">
        <v>10</v>
      </c>
    </row>
    <row r="14" spans="1:11" ht="32.25" customHeight="1" thickTop="1">
      <c r="A14" s="4">
        <v>1</v>
      </c>
      <c r="B14" s="10" t="s">
        <v>77</v>
      </c>
      <c r="C14" s="19">
        <v>38745666</v>
      </c>
      <c r="D14" s="71" t="s">
        <v>78</v>
      </c>
      <c r="E14" s="63" t="s">
        <v>30</v>
      </c>
      <c r="F14" s="89">
        <v>1</v>
      </c>
      <c r="G14" s="5" t="s">
        <v>79</v>
      </c>
      <c r="H14" s="69">
        <v>484821</v>
      </c>
      <c r="I14" s="71">
        <v>44277</v>
      </c>
      <c r="J14" s="135" t="s">
        <v>109</v>
      </c>
      <c r="K14" s="6"/>
    </row>
    <row r="15" spans="1:11" ht="32.25" customHeight="1">
      <c r="A15" s="4">
        <v>2</v>
      </c>
      <c r="B15" s="22" t="s">
        <v>80</v>
      </c>
      <c r="C15" s="19">
        <v>11440000</v>
      </c>
      <c r="D15" s="7" t="s">
        <v>35</v>
      </c>
      <c r="E15" s="63" t="s">
        <v>35</v>
      </c>
      <c r="F15" s="89">
        <v>2</v>
      </c>
      <c r="G15" s="5" t="s">
        <v>81</v>
      </c>
      <c r="H15" s="69">
        <v>1000000</v>
      </c>
      <c r="I15" s="71" t="s">
        <v>35</v>
      </c>
      <c r="J15" s="85" t="s">
        <v>35</v>
      </c>
    </row>
    <row r="16" spans="1:11" ht="32.25" customHeight="1">
      <c r="A16" s="77">
        <v>3</v>
      </c>
      <c r="B16" s="132" t="s">
        <v>82</v>
      </c>
      <c r="C16" s="80">
        <v>6050000</v>
      </c>
      <c r="D16" s="73" t="s">
        <v>83</v>
      </c>
      <c r="E16" s="133" t="s">
        <v>35</v>
      </c>
      <c r="F16" s="89">
        <v>3</v>
      </c>
      <c r="G16" s="5" t="s">
        <v>84</v>
      </c>
      <c r="H16" s="69">
        <v>500000</v>
      </c>
      <c r="I16" s="71" t="s">
        <v>35</v>
      </c>
      <c r="J16" s="85" t="s">
        <v>35</v>
      </c>
    </row>
    <row r="17" spans="1:10" ht="32.25" customHeight="1">
      <c r="A17" s="75">
        <v>4</v>
      </c>
      <c r="B17" s="5" t="s">
        <v>85</v>
      </c>
      <c r="C17" s="96">
        <f>13090000</f>
        <v>13090000</v>
      </c>
      <c r="D17" s="9" t="s">
        <v>86</v>
      </c>
      <c r="E17" s="76" t="s">
        <v>57</v>
      </c>
      <c r="F17" s="89">
        <v>4</v>
      </c>
      <c r="G17" s="5" t="s">
        <v>87</v>
      </c>
      <c r="H17" s="69">
        <v>500000</v>
      </c>
      <c r="I17" s="71" t="s">
        <v>35</v>
      </c>
      <c r="J17" s="85" t="s">
        <v>35</v>
      </c>
    </row>
    <row r="18" spans="1:10" ht="32.25" customHeight="1">
      <c r="A18" s="4">
        <v>5</v>
      </c>
      <c r="B18" s="10" t="s">
        <v>88</v>
      </c>
      <c r="C18" s="19">
        <f>6189295</f>
        <v>6189295</v>
      </c>
      <c r="D18" s="7" t="s">
        <v>35</v>
      </c>
      <c r="E18" s="63" t="s">
        <v>35</v>
      </c>
      <c r="F18" s="89">
        <v>5</v>
      </c>
      <c r="G18" s="5" t="s">
        <v>89</v>
      </c>
      <c r="H18" s="69">
        <v>165000</v>
      </c>
      <c r="I18" s="71">
        <v>44278</v>
      </c>
      <c r="J18" s="85" t="s">
        <v>35</v>
      </c>
    </row>
    <row r="19" spans="1:10" ht="32.25" customHeight="1">
      <c r="A19" s="83">
        <v>6</v>
      </c>
      <c r="B19" s="21" t="s">
        <v>59</v>
      </c>
      <c r="C19" s="84">
        <v>1184000</v>
      </c>
      <c r="D19" s="82" t="s">
        <v>35</v>
      </c>
      <c r="E19" s="64" t="s">
        <v>35</v>
      </c>
      <c r="F19" s="89">
        <v>6</v>
      </c>
      <c r="G19" s="5" t="s">
        <v>90</v>
      </c>
      <c r="H19" s="69">
        <v>165000</v>
      </c>
      <c r="I19" s="71" t="s">
        <v>35</v>
      </c>
      <c r="J19" s="86" t="s">
        <v>35</v>
      </c>
    </row>
    <row r="20" spans="1:10" ht="32.25" customHeight="1">
      <c r="A20" s="4"/>
      <c r="B20" s="10"/>
      <c r="C20" s="19"/>
      <c r="D20" s="118"/>
      <c r="E20" s="63"/>
      <c r="F20" s="89">
        <v>7</v>
      </c>
      <c r="G20" s="5" t="s">
        <v>93</v>
      </c>
      <c r="H20" s="69">
        <v>500000</v>
      </c>
      <c r="I20" s="71" t="s">
        <v>35</v>
      </c>
      <c r="J20" s="85" t="s">
        <v>35</v>
      </c>
    </row>
    <row r="21" spans="1:10" ht="32.25" customHeight="1">
      <c r="A21" s="75"/>
      <c r="B21" s="5"/>
      <c r="C21" s="96"/>
      <c r="D21" s="9"/>
      <c r="E21" s="76"/>
      <c r="F21" s="89">
        <v>8</v>
      </c>
      <c r="G21" s="5" t="s">
        <v>94</v>
      </c>
      <c r="H21" s="69">
        <f>1585600</f>
        <v>1585600</v>
      </c>
      <c r="I21" s="71" t="s">
        <v>35</v>
      </c>
      <c r="J21" s="85" t="s">
        <v>110</v>
      </c>
    </row>
    <row r="22" spans="1:10" ht="32.25" customHeight="1">
      <c r="A22" s="4"/>
      <c r="B22" s="10"/>
      <c r="C22" s="19"/>
      <c r="D22" s="7"/>
      <c r="E22" s="63"/>
      <c r="F22" s="89">
        <v>9</v>
      </c>
      <c r="G22" s="5" t="s">
        <v>95</v>
      </c>
      <c r="H22" s="69">
        <v>12032443</v>
      </c>
      <c r="I22" s="71" t="s">
        <v>35</v>
      </c>
      <c r="J22" s="85" t="s">
        <v>35</v>
      </c>
    </row>
    <row r="23" spans="1:10" ht="32.25" customHeight="1">
      <c r="A23" s="4"/>
      <c r="B23" s="10"/>
      <c r="C23" s="19"/>
      <c r="D23" s="7"/>
      <c r="E23" s="63"/>
      <c r="F23" s="90">
        <v>10</v>
      </c>
      <c r="G23" s="37" t="s">
        <v>96</v>
      </c>
      <c r="H23" s="72">
        <f>23333330</f>
        <v>23333330</v>
      </c>
      <c r="I23" s="73">
        <v>44280</v>
      </c>
      <c r="J23" s="87" t="s">
        <v>35</v>
      </c>
    </row>
    <row r="24" spans="1:10" ht="32.25" customHeight="1">
      <c r="A24" s="4"/>
      <c r="B24" s="10"/>
      <c r="C24" s="19"/>
      <c r="D24" s="7"/>
      <c r="E24" s="63"/>
      <c r="F24" s="91">
        <v>11</v>
      </c>
      <c r="G24" s="5" t="s">
        <v>97</v>
      </c>
      <c r="H24" s="69">
        <f>323110</f>
        <v>323110</v>
      </c>
      <c r="I24" s="71">
        <v>44277</v>
      </c>
      <c r="J24" s="76" t="s">
        <v>111</v>
      </c>
    </row>
    <row r="25" spans="1:10" ht="32.25" customHeight="1">
      <c r="A25" s="4"/>
      <c r="B25" s="10"/>
      <c r="C25" s="19"/>
      <c r="D25" s="7"/>
      <c r="E25" s="64"/>
      <c r="F25" s="89">
        <v>12</v>
      </c>
      <c r="G25" s="10" t="s">
        <v>98</v>
      </c>
      <c r="H25" s="74">
        <f>50050</f>
        <v>50050</v>
      </c>
      <c r="I25" s="7" t="s">
        <v>35</v>
      </c>
      <c r="J25" s="85" t="s">
        <v>35</v>
      </c>
    </row>
    <row r="26" spans="1:10" ht="32.25" customHeight="1">
      <c r="A26" s="4"/>
      <c r="B26" s="10"/>
      <c r="C26" s="19"/>
      <c r="D26" s="7"/>
      <c r="E26" s="63"/>
      <c r="F26" s="89">
        <v>13</v>
      </c>
      <c r="G26" s="10" t="s">
        <v>99</v>
      </c>
      <c r="H26" s="19">
        <f>132000</f>
        <v>132000</v>
      </c>
      <c r="I26" s="7" t="s">
        <v>35</v>
      </c>
      <c r="J26" s="85" t="s">
        <v>35</v>
      </c>
    </row>
    <row r="27" spans="1:10" ht="32.25" customHeight="1">
      <c r="A27" s="4"/>
      <c r="B27" s="10"/>
      <c r="C27" s="19"/>
      <c r="D27" s="7"/>
      <c r="E27" s="63"/>
      <c r="F27" s="89">
        <v>14</v>
      </c>
      <c r="G27" s="10" t="s">
        <v>100</v>
      </c>
      <c r="H27" s="19">
        <v>11000</v>
      </c>
      <c r="I27" s="7" t="s">
        <v>35</v>
      </c>
      <c r="J27" s="85" t="s">
        <v>35</v>
      </c>
    </row>
    <row r="28" spans="1:10" ht="32.25" customHeight="1">
      <c r="A28" s="83"/>
      <c r="B28" s="21"/>
      <c r="C28" s="84"/>
      <c r="D28" s="82"/>
      <c r="E28" s="64"/>
      <c r="F28" s="83">
        <v>15</v>
      </c>
      <c r="G28" s="21" t="s">
        <v>101</v>
      </c>
      <c r="H28" s="84">
        <f>300300</f>
        <v>300300</v>
      </c>
      <c r="I28" s="12">
        <v>44280</v>
      </c>
      <c r="J28" s="58" t="s">
        <v>35</v>
      </c>
    </row>
    <row r="29" spans="1:10" ht="32.25" customHeight="1">
      <c r="A29" s="83"/>
      <c r="B29" s="21"/>
      <c r="C29" s="84"/>
      <c r="D29" s="82"/>
      <c r="E29" s="64"/>
      <c r="F29" s="4">
        <v>16</v>
      </c>
      <c r="G29" s="10" t="s">
        <v>102</v>
      </c>
      <c r="H29" s="19">
        <f>220000</f>
        <v>220000</v>
      </c>
      <c r="I29" s="7" t="s">
        <v>35</v>
      </c>
      <c r="J29" s="7" t="s">
        <v>35</v>
      </c>
    </row>
    <row r="30" spans="1:10" ht="32.25" customHeight="1">
      <c r="A30" s="83"/>
      <c r="B30" s="21"/>
      <c r="C30" s="84"/>
      <c r="D30" s="82"/>
      <c r="E30" s="64"/>
      <c r="F30" s="4">
        <v>17</v>
      </c>
      <c r="G30" s="10" t="s">
        <v>103</v>
      </c>
      <c r="H30" s="19">
        <f>107400</f>
        <v>107400</v>
      </c>
      <c r="I30" s="7" t="s">
        <v>35</v>
      </c>
      <c r="J30" s="7" t="s">
        <v>35</v>
      </c>
    </row>
    <row r="31" spans="1:10" ht="32.25" customHeight="1">
      <c r="A31" s="83"/>
      <c r="B31" s="21"/>
      <c r="C31" s="84"/>
      <c r="D31" s="82"/>
      <c r="E31" s="64"/>
      <c r="F31" s="77">
        <v>18</v>
      </c>
      <c r="G31" s="37" t="s">
        <v>104</v>
      </c>
      <c r="H31" s="80">
        <f>32900</f>
        <v>32900</v>
      </c>
      <c r="I31" s="119" t="s">
        <v>35</v>
      </c>
      <c r="J31" s="119" t="s">
        <v>35</v>
      </c>
    </row>
    <row r="32" spans="1:10" ht="32.25" customHeight="1">
      <c r="A32" s="27"/>
      <c r="B32" s="10"/>
      <c r="C32" s="19"/>
      <c r="D32" s="7"/>
      <c r="E32" s="94"/>
      <c r="F32" s="95">
        <v>19</v>
      </c>
      <c r="G32" s="20" t="s">
        <v>112</v>
      </c>
      <c r="H32" s="96">
        <v>25300</v>
      </c>
      <c r="I32" s="71">
        <v>44277</v>
      </c>
      <c r="J32" s="85" t="s">
        <v>64</v>
      </c>
    </row>
    <row r="33" spans="1:20" ht="32.25" customHeight="1">
      <c r="A33" s="27"/>
      <c r="B33" s="10"/>
      <c r="C33" s="19"/>
      <c r="D33" s="7"/>
      <c r="E33" s="94"/>
      <c r="F33" s="92">
        <v>20</v>
      </c>
      <c r="G33" s="22" t="s">
        <v>113</v>
      </c>
      <c r="H33" s="97">
        <v>21850</v>
      </c>
      <c r="I33" s="98">
        <v>44278</v>
      </c>
      <c r="J33" s="99"/>
      <c r="K33" s="100"/>
      <c r="L33" s="100"/>
      <c r="M33" s="100"/>
      <c r="N33" s="100"/>
      <c r="O33" s="100"/>
      <c r="P33" s="100"/>
      <c r="Q33" s="100"/>
      <c r="R33" s="100"/>
      <c r="S33" s="100"/>
      <c r="T33" s="100"/>
    </row>
    <row r="34" spans="1:20" ht="32.25" customHeight="1">
      <c r="A34" s="27"/>
      <c r="B34" s="10"/>
      <c r="C34" s="19"/>
      <c r="D34" s="7"/>
      <c r="E34" s="94"/>
      <c r="F34" s="92">
        <v>21</v>
      </c>
      <c r="G34" s="101" t="s">
        <v>114</v>
      </c>
      <c r="H34" s="97">
        <v>306270</v>
      </c>
      <c r="I34" s="98">
        <v>44279</v>
      </c>
      <c r="J34" s="99"/>
      <c r="K34" s="100"/>
      <c r="L34" s="100"/>
      <c r="M34" s="100"/>
      <c r="N34" s="100"/>
      <c r="O34" s="100"/>
      <c r="P34" s="100"/>
      <c r="Q34" s="100"/>
      <c r="R34" s="100"/>
      <c r="S34" s="100"/>
      <c r="T34" s="100"/>
    </row>
    <row r="35" spans="1:20" ht="32.25" customHeight="1">
      <c r="A35" s="27"/>
      <c r="B35" s="10"/>
      <c r="C35" s="19"/>
      <c r="D35" s="7"/>
      <c r="E35" s="94"/>
      <c r="F35" s="92">
        <v>22</v>
      </c>
      <c r="G35" s="22" t="s">
        <v>115</v>
      </c>
      <c r="H35" s="97">
        <v>3810</v>
      </c>
      <c r="I35" s="98">
        <v>44279</v>
      </c>
      <c r="J35" s="99"/>
      <c r="K35" s="100"/>
      <c r="L35" s="100"/>
      <c r="M35" s="100"/>
      <c r="N35" s="100"/>
      <c r="O35" s="100"/>
      <c r="P35" s="100"/>
      <c r="Q35" s="100"/>
      <c r="R35" s="100"/>
      <c r="S35" s="100"/>
      <c r="T35" s="100"/>
    </row>
    <row r="36" spans="1:20" ht="32.25" customHeight="1">
      <c r="A36" s="27"/>
      <c r="B36" s="10"/>
      <c r="C36" s="19"/>
      <c r="D36" s="7"/>
      <c r="E36" s="94"/>
      <c r="F36" s="92">
        <v>23</v>
      </c>
      <c r="G36" s="101" t="s">
        <v>116</v>
      </c>
      <c r="H36" s="97">
        <v>131600</v>
      </c>
      <c r="I36" s="98">
        <v>44279</v>
      </c>
      <c r="J36" s="99"/>
      <c r="K36" s="100"/>
      <c r="L36" s="100"/>
      <c r="M36" s="100"/>
      <c r="N36" s="100"/>
      <c r="O36" s="100"/>
      <c r="P36" s="100"/>
      <c r="Q36" s="100"/>
      <c r="R36" s="100"/>
      <c r="S36" s="100"/>
      <c r="T36" s="100"/>
    </row>
    <row r="37" spans="1:20" ht="32.25" customHeight="1">
      <c r="A37" s="4"/>
      <c r="B37" s="79"/>
      <c r="C37" s="29"/>
      <c r="D37" s="7"/>
      <c r="E37" s="63"/>
      <c r="F37" s="92">
        <v>24</v>
      </c>
      <c r="G37" s="102" t="s">
        <v>117</v>
      </c>
      <c r="H37" s="103">
        <f>3810</f>
        <v>3810</v>
      </c>
      <c r="I37" s="98">
        <v>44280</v>
      </c>
      <c r="J37" s="104"/>
      <c r="K37" s="100"/>
      <c r="L37" s="100"/>
      <c r="M37" s="100"/>
      <c r="N37" s="100"/>
      <c r="O37" s="100"/>
      <c r="P37" s="100"/>
      <c r="Q37" s="100"/>
      <c r="R37" s="100"/>
      <c r="S37" s="100"/>
      <c r="T37" s="100"/>
    </row>
    <row r="38" spans="1:20" ht="32.25" customHeight="1">
      <c r="A38" s="83"/>
      <c r="B38" s="112"/>
      <c r="C38" s="113"/>
      <c r="D38" s="82"/>
      <c r="E38" s="64"/>
      <c r="F38" s="92">
        <v>25</v>
      </c>
      <c r="G38" s="114" t="s">
        <v>118</v>
      </c>
      <c r="H38" s="115">
        <f>10000</f>
        <v>10000</v>
      </c>
      <c r="I38" s="116" t="s">
        <v>35</v>
      </c>
      <c r="J38" s="117"/>
      <c r="K38" s="100"/>
      <c r="L38" s="100"/>
      <c r="M38" s="100"/>
      <c r="N38" s="100"/>
      <c r="O38" s="100"/>
      <c r="P38" s="100"/>
      <c r="Q38" s="100"/>
      <c r="R38" s="100"/>
      <c r="S38" s="100"/>
      <c r="T38" s="100"/>
    </row>
    <row r="39" spans="1:20" ht="32.25" customHeight="1">
      <c r="A39" s="27"/>
      <c r="B39" s="10"/>
      <c r="C39" s="19"/>
      <c r="D39" s="7"/>
      <c r="E39" s="94"/>
      <c r="F39" s="92">
        <v>26</v>
      </c>
      <c r="G39" s="22" t="s">
        <v>119</v>
      </c>
      <c r="H39" s="19">
        <f>4290</f>
        <v>4290</v>
      </c>
      <c r="I39" s="98">
        <v>44281</v>
      </c>
      <c r="J39" s="94"/>
      <c r="K39" s="100"/>
      <c r="L39" s="100"/>
      <c r="M39" s="100"/>
      <c r="N39" s="100"/>
      <c r="O39" s="100"/>
      <c r="P39" s="100"/>
      <c r="Q39" s="100"/>
      <c r="R39" s="100"/>
      <c r="S39" s="100"/>
      <c r="T39" s="100"/>
    </row>
    <row r="40" spans="1:20" ht="32.25" customHeight="1">
      <c r="A40" s="27"/>
      <c r="B40" s="10"/>
      <c r="C40" s="19"/>
      <c r="D40" s="7"/>
      <c r="E40" s="94"/>
      <c r="F40" s="92">
        <v>27</v>
      </c>
      <c r="G40" s="22" t="s">
        <v>120</v>
      </c>
      <c r="H40" s="97">
        <v>21850</v>
      </c>
      <c r="I40" s="116" t="s">
        <v>35</v>
      </c>
      <c r="J40" s="94"/>
      <c r="K40" s="100"/>
      <c r="L40" s="100"/>
      <c r="M40" s="100"/>
      <c r="N40" s="100"/>
      <c r="O40" s="100"/>
      <c r="P40" s="100"/>
      <c r="Q40" s="100"/>
      <c r="R40" s="100"/>
      <c r="S40" s="100"/>
      <c r="T40" s="100"/>
    </row>
    <row r="41" spans="1:20" ht="32.25" customHeight="1">
      <c r="A41" s="4"/>
      <c r="B41" s="79"/>
      <c r="C41" s="29"/>
      <c r="D41" s="7"/>
      <c r="E41" s="63"/>
      <c r="F41" s="92">
        <v>28</v>
      </c>
      <c r="G41" s="22" t="s">
        <v>121</v>
      </c>
      <c r="H41" s="97">
        <v>21850</v>
      </c>
      <c r="I41" s="116" t="s">
        <v>35</v>
      </c>
      <c r="J41" s="63"/>
      <c r="K41" s="100"/>
      <c r="L41" s="100"/>
      <c r="M41" s="100"/>
      <c r="N41" s="100"/>
      <c r="O41" s="100"/>
      <c r="P41" s="100"/>
      <c r="Q41" s="100"/>
      <c r="R41" s="100"/>
      <c r="S41" s="100"/>
      <c r="T41" s="100"/>
    </row>
    <row r="42" spans="1:20" ht="32.25" customHeight="1" thickBot="1">
      <c r="A42" s="107"/>
      <c r="B42" s="108"/>
      <c r="C42" s="109"/>
      <c r="D42" s="110"/>
      <c r="E42" s="111"/>
      <c r="F42" s="92">
        <v>29</v>
      </c>
      <c r="G42" s="22" t="s">
        <v>122</v>
      </c>
      <c r="H42" s="97">
        <v>2044292</v>
      </c>
      <c r="I42" s="116" t="s">
        <v>35</v>
      </c>
      <c r="J42" s="63"/>
      <c r="K42" s="100"/>
      <c r="L42" s="100"/>
      <c r="M42" s="100"/>
      <c r="N42" s="100"/>
      <c r="O42" s="100"/>
      <c r="P42" s="100"/>
      <c r="Q42" s="100"/>
      <c r="R42" s="100"/>
      <c r="S42" s="100"/>
      <c r="T42" s="100"/>
    </row>
    <row r="43" spans="1:20" ht="32.25" customHeight="1" thickTop="1" thickBot="1">
      <c r="A43" s="30"/>
      <c r="B43" s="31" t="s">
        <v>72</v>
      </c>
      <c r="C43" s="24">
        <f>SUM(C14:C42)</f>
        <v>76698961</v>
      </c>
      <c r="D43" s="43"/>
      <c r="E43" s="62"/>
      <c r="F43" s="93"/>
      <c r="G43" s="31" t="s">
        <v>72</v>
      </c>
      <c r="H43" s="34">
        <f>SUM(H14:H31)</f>
        <v>41442954</v>
      </c>
      <c r="I43" s="47" t="s">
        <v>73</v>
      </c>
      <c r="J43" s="46"/>
    </row>
    <row r="44" spans="1:20" ht="25.5" customHeight="1" thickBot="1">
      <c r="A44" s="820" t="s">
        <v>74</v>
      </c>
      <c r="B44" s="821"/>
      <c r="C44" s="821"/>
      <c r="D44" s="821"/>
      <c r="E44" s="821"/>
      <c r="F44" s="821"/>
      <c r="G44" s="821"/>
      <c r="H44" s="691"/>
      <c r="I44" s="11"/>
      <c r="J44" s="11"/>
    </row>
    <row r="45" spans="1:20" ht="25.5" customHeight="1">
      <c r="A45" s="834" t="s">
        <v>123</v>
      </c>
      <c r="B45" s="835"/>
      <c r="C45" s="835"/>
      <c r="D45" s="835"/>
      <c r="E45" s="836"/>
      <c r="F45" s="834" t="s">
        <v>124</v>
      </c>
      <c r="G45" s="835"/>
      <c r="H45" s="835"/>
      <c r="I45" s="835"/>
      <c r="J45" s="836"/>
    </row>
    <row r="46" spans="1:20" ht="25.5" customHeight="1" thickBot="1">
      <c r="A46" s="25" t="s">
        <v>24</v>
      </c>
      <c r="B46" s="28" t="s">
        <v>25</v>
      </c>
      <c r="C46" s="26" t="s">
        <v>108</v>
      </c>
      <c r="D46" s="26" t="s">
        <v>27</v>
      </c>
      <c r="E46" s="48" t="s">
        <v>10</v>
      </c>
      <c r="F46" s="25" t="s">
        <v>24</v>
      </c>
      <c r="G46" s="28" t="s">
        <v>25</v>
      </c>
      <c r="H46" s="26" t="s">
        <v>26</v>
      </c>
      <c r="I46" s="26" t="s">
        <v>27</v>
      </c>
      <c r="J46" s="48" t="s">
        <v>10</v>
      </c>
    </row>
    <row r="47" spans="1:20" ht="25.5" customHeight="1" thickTop="1">
      <c r="A47" s="4">
        <v>1</v>
      </c>
      <c r="B47" s="10" t="s">
        <v>125</v>
      </c>
      <c r="C47" s="19">
        <v>28017000</v>
      </c>
      <c r="D47" s="139" t="s">
        <v>126</v>
      </c>
      <c r="E47" s="63"/>
      <c r="F47" s="4">
        <v>1</v>
      </c>
      <c r="G47" s="35" t="s">
        <v>127</v>
      </c>
      <c r="H47" s="65">
        <v>6600000</v>
      </c>
      <c r="I47" s="68">
        <v>44286</v>
      </c>
      <c r="J47" s="50" t="s">
        <v>33</v>
      </c>
    </row>
    <row r="48" spans="1:20" ht="25.5" customHeight="1">
      <c r="A48" s="4">
        <v>2</v>
      </c>
      <c r="B48" s="10" t="s">
        <v>128</v>
      </c>
      <c r="C48" s="19">
        <v>9460000</v>
      </c>
      <c r="D48" s="139" t="s">
        <v>126</v>
      </c>
      <c r="E48" s="63"/>
      <c r="F48" s="4">
        <v>2</v>
      </c>
      <c r="G48" s="10" t="s">
        <v>129</v>
      </c>
      <c r="H48" s="66">
        <v>1644192</v>
      </c>
      <c r="I48" s="8" t="s">
        <v>35</v>
      </c>
      <c r="J48" s="8" t="s">
        <v>35</v>
      </c>
    </row>
    <row r="49" spans="1:10" ht="25.5" customHeight="1">
      <c r="A49" s="4">
        <v>3</v>
      </c>
      <c r="B49" s="10" t="s">
        <v>130</v>
      </c>
      <c r="C49" s="19">
        <v>1145000</v>
      </c>
      <c r="D49" s="7" t="s">
        <v>126</v>
      </c>
      <c r="E49" s="63"/>
      <c r="F49" s="4">
        <v>3</v>
      </c>
      <c r="G49" s="10" t="s">
        <v>131</v>
      </c>
      <c r="H49" s="66">
        <f>3686067</f>
        <v>3686067</v>
      </c>
      <c r="I49" s="8" t="s">
        <v>35</v>
      </c>
      <c r="J49" s="8" t="s">
        <v>35</v>
      </c>
    </row>
    <row r="50" spans="1:10" ht="25.5" customHeight="1">
      <c r="A50" s="4">
        <v>4</v>
      </c>
      <c r="B50" s="10" t="s">
        <v>132</v>
      </c>
      <c r="C50" s="19">
        <v>12805000</v>
      </c>
      <c r="D50" s="7" t="s">
        <v>126</v>
      </c>
      <c r="E50" s="63"/>
      <c r="F50" s="4">
        <v>4</v>
      </c>
      <c r="G50" s="10" t="s">
        <v>133</v>
      </c>
      <c r="H50" s="66">
        <f>1228689</f>
        <v>1228689</v>
      </c>
      <c r="I50" s="8" t="s">
        <v>35</v>
      </c>
      <c r="J50" s="8" t="s">
        <v>35</v>
      </c>
    </row>
    <row r="51" spans="1:10" ht="25.5" customHeight="1">
      <c r="A51" s="4">
        <v>5</v>
      </c>
      <c r="B51" s="10" t="s">
        <v>134</v>
      </c>
      <c r="C51" s="19">
        <v>143825000</v>
      </c>
      <c r="D51" s="7" t="s">
        <v>135</v>
      </c>
      <c r="E51" s="63"/>
      <c r="F51" s="4">
        <v>5</v>
      </c>
      <c r="G51" s="10" t="s">
        <v>136</v>
      </c>
      <c r="H51" s="66">
        <f>242000*3</f>
        <v>726000</v>
      </c>
      <c r="I51" s="8" t="s">
        <v>35</v>
      </c>
      <c r="J51" s="8" t="s">
        <v>35</v>
      </c>
    </row>
    <row r="52" spans="1:10" ht="25.5" customHeight="1">
      <c r="A52" s="4">
        <v>6</v>
      </c>
      <c r="B52" s="10" t="s">
        <v>137</v>
      </c>
      <c r="C52" s="19">
        <v>8712000</v>
      </c>
      <c r="D52" s="7" t="s">
        <v>135</v>
      </c>
      <c r="E52" s="63"/>
      <c r="F52" s="4">
        <v>6</v>
      </c>
      <c r="G52" s="10" t="s">
        <v>138</v>
      </c>
      <c r="H52" s="66">
        <v>330000</v>
      </c>
      <c r="I52" s="8" t="s">
        <v>35</v>
      </c>
      <c r="J52" s="8" t="s">
        <v>35</v>
      </c>
    </row>
    <row r="53" spans="1:10" ht="25.5" customHeight="1">
      <c r="A53" s="4">
        <v>7</v>
      </c>
      <c r="B53" s="10" t="s">
        <v>139</v>
      </c>
      <c r="C53" s="19">
        <v>9823000</v>
      </c>
      <c r="D53" s="7" t="s">
        <v>140</v>
      </c>
      <c r="E53" s="63"/>
      <c r="F53" s="4">
        <v>7</v>
      </c>
      <c r="G53" s="10" t="s">
        <v>141</v>
      </c>
      <c r="H53" s="67">
        <v>385000</v>
      </c>
      <c r="I53" s="8" t="s">
        <v>35</v>
      </c>
      <c r="J53" s="8" t="s">
        <v>35</v>
      </c>
    </row>
    <row r="54" spans="1:10" ht="25.5" customHeight="1">
      <c r="A54" s="4">
        <v>8</v>
      </c>
      <c r="B54" s="10" t="s">
        <v>142</v>
      </c>
      <c r="C54" s="19">
        <v>11517000</v>
      </c>
      <c r="D54" s="7" t="s">
        <v>140</v>
      </c>
      <c r="E54" s="63"/>
      <c r="F54" s="4">
        <v>8</v>
      </c>
      <c r="G54" s="10" t="s">
        <v>143</v>
      </c>
      <c r="H54" s="67">
        <f>3850000</f>
        <v>3850000</v>
      </c>
      <c r="I54" s="8" t="s">
        <v>35</v>
      </c>
      <c r="J54" s="8" t="s">
        <v>35</v>
      </c>
    </row>
    <row r="55" spans="1:10" ht="25.5" customHeight="1">
      <c r="A55" s="4"/>
      <c r="B55" s="10"/>
      <c r="C55" s="19"/>
      <c r="D55" s="7"/>
      <c r="E55" s="63"/>
      <c r="F55" s="4">
        <v>9</v>
      </c>
      <c r="G55" s="105" t="s">
        <v>144</v>
      </c>
      <c r="H55" s="67">
        <f>660000</f>
        <v>660000</v>
      </c>
      <c r="I55" s="106" t="s">
        <v>35</v>
      </c>
      <c r="J55" s="106" t="s">
        <v>35</v>
      </c>
    </row>
    <row r="56" spans="1:10" ht="25.5" customHeight="1">
      <c r="A56" s="4"/>
      <c r="B56" s="10"/>
      <c r="C56" s="19"/>
      <c r="D56" s="7"/>
      <c r="E56" s="63"/>
      <c r="F56" s="4">
        <v>10</v>
      </c>
      <c r="G56" s="10" t="s">
        <v>145</v>
      </c>
      <c r="H56" s="67">
        <f>1672000+2640000</f>
        <v>4312000</v>
      </c>
      <c r="I56" s="8" t="s">
        <v>35</v>
      </c>
      <c r="J56" s="8" t="s">
        <v>35</v>
      </c>
    </row>
    <row r="57" spans="1:10" ht="25.5" customHeight="1">
      <c r="A57" s="4"/>
      <c r="B57" s="10"/>
      <c r="C57" s="19"/>
      <c r="D57" s="7"/>
      <c r="E57" s="63"/>
      <c r="F57" s="4">
        <v>11</v>
      </c>
      <c r="G57" s="22" t="s">
        <v>146</v>
      </c>
      <c r="H57" s="70">
        <v>2651000</v>
      </c>
      <c r="I57" s="8" t="s">
        <v>35</v>
      </c>
      <c r="J57" s="8" t="s">
        <v>35</v>
      </c>
    </row>
    <row r="58" spans="1:10" ht="25.5" customHeight="1">
      <c r="A58" s="4"/>
      <c r="B58" s="10"/>
      <c r="C58" s="19"/>
      <c r="D58" s="7"/>
      <c r="E58" s="63"/>
      <c r="F58" s="4">
        <v>12</v>
      </c>
      <c r="G58" s="22" t="s">
        <v>147</v>
      </c>
      <c r="H58" s="67">
        <f>940500</f>
        <v>940500</v>
      </c>
      <c r="I58" s="8" t="s">
        <v>35</v>
      </c>
      <c r="J58" s="8" t="s">
        <v>35</v>
      </c>
    </row>
    <row r="59" spans="1:10" ht="25.5" customHeight="1">
      <c r="A59" s="4"/>
      <c r="B59" s="10"/>
      <c r="C59" s="19"/>
      <c r="D59" s="7"/>
      <c r="E59" s="63"/>
      <c r="F59" s="4">
        <v>13</v>
      </c>
      <c r="G59" s="22" t="s">
        <v>148</v>
      </c>
      <c r="H59" s="70">
        <f>440000+11000</f>
        <v>451000</v>
      </c>
      <c r="I59" s="8" t="s">
        <v>35</v>
      </c>
      <c r="J59" s="8" t="s">
        <v>35</v>
      </c>
    </row>
    <row r="60" spans="1:10" ht="25.5" customHeight="1">
      <c r="A60" s="4"/>
      <c r="B60" s="10"/>
      <c r="C60" s="19"/>
      <c r="D60" s="7"/>
      <c r="E60" s="63"/>
      <c r="F60" s="4">
        <v>14</v>
      </c>
      <c r="G60" s="5" t="s">
        <v>149</v>
      </c>
      <c r="H60" s="69">
        <v>24268470</v>
      </c>
      <c r="I60" s="71" t="s">
        <v>35</v>
      </c>
      <c r="J60" s="8" t="s">
        <v>35</v>
      </c>
    </row>
    <row r="61" spans="1:10" ht="25.5" customHeight="1">
      <c r="A61" s="4"/>
      <c r="B61" s="10"/>
      <c r="C61" s="19"/>
      <c r="D61" s="7"/>
      <c r="E61" s="63"/>
      <c r="F61" s="4">
        <v>15</v>
      </c>
      <c r="G61" s="5" t="s">
        <v>150</v>
      </c>
      <c r="H61" s="69">
        <v>3500000</v>
      </c>
      <c r="I61" s="71" t="s">
        <v>35</v>
      </c>
      <c r="J61" s="8" t="s">
        <v>35</v>
      </c>
    </row>
    <row r="62" spans="1:10" ht="25.5" customHeight="1">
      <c r="A62" s="4"/>
      <c r="B62" s="10"/>
      <c r="C62" s="19"/>
      <c r="D62" s="7"/>
      <c r="E62" s="63"/>
      <c r="F62" s="4">
        <v>16</v>
      </c>
      <c r="G62" s="5" t="s">
        <v>151</v>
      </c>
      <c r="H62" s="69">
        <f>4160000+25862</f>
        <v>4185862</v>
      </c>
      <c r="I62" s="71">
        <v>44287</v>
      </c>
      <c r="J62" s="8" t="s">
        <v>35</v>
      </c>
    </row>
    <row r="63" spans="1:10" ht="25.5" customHeight="1">
      <c r="A63" s="4"/>
      <c r="B63" s="10"/>
      <c r="C63" s="19"/>
      <c r="D63" s="7"/>
      <c r="E63" s="63"/>
      <c r="F63" s="4">
        <v>17</v>
      </c>
      <c r="G63" s="5" t="s">
        <v>152</v>
      </c>
      <c r="H63" s="69">
        <f>203560+170020</f>
        <v>373580</v>
      </c>
      <c r="I63" s="71">
        <v>44286</v>
      </c>
      <c r="J63" s="71" t="s">
        <v>35</v>
      </c>
    </row>
    <row r="64" spans="1:10" ht="25.5" customHeight="1">
      <c r="A64" s="4"/>
      <c r="B64" s="10"/>
      <c r="C64" s="19"/>
      <c r="D64" s="7"/>
      <c r="E64" s="63"/>
      <c r="F64" s="4">
        <v>18</v>
      </c>
      <c r="G64" s="5" t="s">
        <v>153</v>
      </c>
      <c r="H64" s="69">
        <v>621350</v>
      </c>
      <c r="I64" s="71" t="s">
        <v>35</v>
      </c>
      <c r="J64" s="71" t="s">
        <v>35</v>
      </c>
    </row>
    <row r="65" spans="1:10" ht="25.5" customHeight="1">
      <c r="A65" s="4"/>
      <c r="B65" s="10"/>
      <c r="C65" s="19"/>
      <c r="D65" s="7"/>
      <c r="E65" s="63"/>
      <c r="F65" s="4">
        <v>19</v>
      </c>
      <c r="G65" s="5" t="s">
        <v>154</v>
      </c>
      <c r="H65" s="69">
        <v>1166000</v>
      </c>
      <c r="I65" s="71" t="s">
        <v>35</v>
      </c>
      <c r="J65" s="8" t="s">
        <v>35</v>
      </c>
    </row>
    <row r="66" spans="1:10" ht="25.5" customHeight="1">
      <c r="A66" s="4"/>
      <c r="B66" s="10"/>
      <c r="C66" s="19"/>
      <c r="D66" s="7"/>
      <c r="E66" s="63"/>
      <c r="F66" s="4">
        <v>20</v>
      </c>
      <c r="G66" s="5" t="s">
        <v>155</v>
      </c>
      <c r="H66" s="69">
        <v>500000</v>
      </c>
      <c r="I66" s="71" t="s">
        <v>35</v>
      </c>
      <c r="J66" s="8" t="s">
        <v>35</v>
      </c>
    </row>
    <row r="67" spans="1:10" ht="25.5" customHeight="1">
      <c r="A67" s="4"/>
      <c r="B67" s="10"/>
      <c r="C67" s="19"/>
      <c r="D67" s="7"/>
      <c r="E67" s="63"/>
      <c r="F67" s="4">
        <v>21</v>
      </c>
      <c r="G67" s="5" t="s">
        <v>156</v>
      </c>
      <c r="H67" s="69"/>
      <c r="I67" s="71" t="s">
        <v>35</v>
      </c>
      <c r="J67" s="8"/>
    </row>
    <row r="68" spans="1:10" ht="25.5" customHeight="1">
      <c r="A68" s="4"/>
      <c r="B68" s="10"/>
      <c r="C68" s="19"/>
      <c r="D68" s="7"/>
      <c r="E68" s="63"/>
      <c r="F68" s="4">
        <v>22</v>
      </c>
      <c r="G68" s="10" t="s">
        <v>157</v>
      </c>
      <c r="H68" s="67">
        <f>116400</f>
        <v>116400</v>
      </c>
      <c r="I68" s="71" t="s">
        <v>35</v>
      </c>
      <c r="J68" s="8" t="s">
        <v>35</v>
      </c>
    </row>
    <row r="69" spans="1:10" ht="25.5" customHeight="1">
      <c r="A69" s="4"/>
      <c r="B69" s="10"/>
      <c r="C69" s="19"/>
      <c r="D69" s="7"/>
      <c r="E69" s="63"/>
      <c r="F69" s="4">
        <v>23</v>
      </c>
      <c r="G69" s="10" t="s">
        <v>158</v>
      </c>
      <c r="H69" s="67">
        <f>15200</f>
        <v>15200</v>
      </c>
      <c r="I69" s="8" t="s">
        <v>35</v>
      </c>
      <c r="J69" s="8" t="s">
        <v>35</v>
      </c>
    </row>
    <row r="70" spans="1:10" ht="25.5" customHeight="1">
      <c r="A70" s="4"/>
      <c r="B70" s="10"/>
      <c r="C70" s="19"/>
      <c r="D70" s="7"/>
      <c r="E70" s="63"/>
      <c r="F70" s="4">
        <v>24</v>
      </c>
      <c r="G70" s="10" t="s">
        <v>159</v>
      </c>
      <c r="H70" s="67">
        <f>3190</f>
        <v>3190</v>
      </c>
      <c r="I70" s="8" t="s">
        <v>35</v>
      </c>
      <c r="J70" s="8" t="s">
        <v>35</v>
      </c>
    </row>
    <row r="71" spans="1:10" ht="25.5" customHeight="1">
      <c r="A71" s="4"/>
      <c r="B71" s="10"/>
      <c r="C71" s="19"/>
      <c r="D71" s="7"/>
      <c r="E71" s="63"/>
      <c r="F71" s="4">
        <v>25</v>
      </c>
      <c r="G71" s="10" t="s">
        <v>160</v>
      </c>
      <c r="H71" s="67">
        <f>15200</f>
        <v>15200</v>
      </c>
      <c r="I71" s="8" t="s">
        <v>35</v>
      </c>
      <c r="J71" s="8" t="s">
        <v>35</v>
      </c>
    </row>
    <row r="72" spans="1:10" ht="25.5" customHeight="1">
      <c r="A72" s="4"/>
      <c r="B72" s="10"/>
      <c r="C72" s="19"/>
      <c r="D72" s="7"/>
      <c r="E72" s="63"/>
      <c r="F72" s="4">
        <v>26</v>
      </c>
      <c r="G72" s="10" t="s">
        <v>161</v>
      </c>
      <c r="H72" s="67">
        <f>10490</f>
        <v>10490</v>
      </c>
      <c r="I72" s="8" t="s">
        <v>35</v>
      </c>
      <c r="J72" s="8" t="s">
        <v>35</v>
      </c>
    </row>
    <row r="73" spans="1:10" ht="25.5" customHeight="1">
      <c r="A73" s="4"/>
      <c r="B73" s="10"/>
      <c r="C73" s="19"/>
      <c r="D73" s="7"/>
      <c r="E73" s="63"/>
      <c r="F73" s="4">
        <v>27</v>
      </c>
      <c r="G73" s="10" t="s">
        <v>162</v>
      </c>
      <c r="H73" s="67">
        <f>8000</f>
        <v>8000</v>
      </c>
      <c r="I73" s="8" t="s">
        <v>35</v>
      </c>
      <c r="J73" s="8" t="s">
        <v>35</v>
      </c>
    </row>
    <row r="74" spans="1:10" ht="25.5" customHeight="1">
      <c r="A74" s="4"/>
      <c r="B74" s="10"/>
      <c r="C74" s="19"/>
      <c r="D74" s="7"/>
      <c r="E74" s="63"/>
      <c r="F74" s="4">
        <v>28</v>
      </c>
      <c r="G74" s="10" t="s">
        <v>163</v>
      </c>
      <c r="H74" s="67">
        <f>24000</f>
        <v>24000</v>
      </c>
      <c r="I74" s="8" t="s">
        <v>35</v>
      </c>
      <c r="J74" s="8" t="s">
        <v>35</v>
      </c>
    </row>
    <row r="75" spans="1:10" ht="25.5" customHeight="1">
      <c r="A75" s="4"/>
      <c r="B75" s="10"/>
      <c r="C75" s="19"/>
      <c r="D75" s="7"/>
      <c r="E75" s="63"/>
      <c r="F75" s="4">
        <v>29</v>
      </c>
      <c r="G75" s="10" t="s">
        <v>164</v>
      </c>
      <c r="H75" s="67">
        <f>8000</f>
        <v>8000</v>
      </c>
      <c r="I75" s="8" t="s">
        <v>35</v>
      </c>
      <c r="J75" s="8" t="s">
        <v>35</v>
      </c>
    </row>
    <row r="76" spans="1:10" ht="25.5" customHeight="1">
      <c r="A76" s="4"/>
      <c r="B76" s="10"/>
      <c r="C76" s="19"/>
      <c r="D76" s="7"/>
      <c r="E76" s="63"/>
      <c r="F76" s="4">
        <v>30</v>
      </c>
      <c r="G76" s="10" t="s">
        <v>165</v>
      </c>
      <c r="H76" s="67">
        <f>23400</f>
        <v>23400</v>
      </c>
      <c r="I76" s="8" t="s">
        <v>35</v>
      </c>
      <c r="J76" s="8" t="s">
        <v>35</v>
      </c>
    </row>
    <row r="77" spans="1:10" ht="25.5" customHeight="1">
      <c r="A77" s="4"/>
      <c r="B77" s="10"/>
      <c r="C77" s="19"/>
      <c r="D77" s="7"/>
      <c r="E77" s="63"/>
      <c r="F77" s="4">
        <v>31</v>
      </c>
      <c r="G77" s="10" t="s">
        <v>166</v>
      </c>
      <c r="H77" s="67">
        <f>7500</f>
        <v>7500</v>
      </c>
      <c r="I77" s="8" t="s">
        <v>35</v>
      </c>
      <c r="J77" s="8" t="s">
        <v>35</v>
      </c>
    </row>
    <row r="78" spans="1:10" ht="25.5" customHeight="1">
      <c r="A78" s="4"/>
      <c r="B78" s="10"/>
      <c r="C78" s="19"/>
      <c r="D78" s="7"/>
      <c r="E78" s="63"/>
      <c r="F78" s="4">
        <v>32</v>
      </c>
      <c r="G78" s="10" t="s">
        <v>167</v>
      </c>
      <c r="H78" s="67">
        <f>15000</f>
        <v>15000</v>
      </c>
      <c r="I78" s="8" t="s">
        <v>35</v>
      </c>
      <c r="J78" s="8" t="s">
        <v>35</v>
      </c>
    </row>
    <row r="79" spans="1:10" ht="25.5" customHeight="1">
      <c r="A79" s="4"/>
      <c r="B79" s="10"/>
      <c r="C79" s="19"/>
      <c r="D79" s="7"/>
      <c r="E79" s="63"/>
      <c r="F79" s="4">
        <v>33</v>
      </c>
      <c r="G79" s="10" t="s">
        <v>168</v>
      </c>
      <c r="H79" s="67">
        <v>35600</v>
      </c>
      <c r="I79" s="8"/>
      <c r="J79" s="8"/>
    </row>
    <row r="80" spans="1:10" ht="25.5" customHeight="1">
      <c r="A80" s="4"/>
      <c r="B80" s="22"/>
      <c r="C80" s="19"/>
      <c r="D80" s="7"/>
      <c r="E80" s="63"/>
      <c r="F80" s="4">
        <v>34</v>
      </c>
      <c r="G80" s="10" t="s">
        <v>169</v>
      </c>
      <c r="H80" s="67">
        <f>120000</f>
        <v>120000</v>
      </c>
      <c r="I80" s="8" t="s">
        <v>35</v>
      </c>
      <c r="J80" s="8" t="s">
        <v>35</v>
      </c>
    </row>
    <row r="81" spans="1:10" ht="25.5" customHeight="1">
      <c r="A81" s="4"/>
      <c r="B81" s="20"/>
      <c r="C81" s="19"/>
      <c r="D81" s="7"/>
      <c r="E81" s="63"/>
      <c r="F81" s="4">
        <v>35</v>
      </c>
      <c r="G81" s="10" t="s">
        <v>170</v>
      </c>
      <c r="H81" s="67">
        <f>25200</f>
        <v>25200</v>
      </c>
      <c r="I81" s="8" t="s">
        <v>35</v>
      </c>
      <c r="J81" s="8" t="s">
        <v>35</v>
      </c>
    </row>
    <row r="82" spans="1:10" ht="25.5" customHeight="1">
      <c r="A82" s="4"/>
      <c r="B82" s="20"/>
      <c r="C82" s="19"/>
      <c r="D82" s="7"/>
      <c r="E82" s="63"/>
      <c r="F82" s="4">
        <v>36</v>
      </c>
      <c r="G82" s="10" t="s">
        <v>171</v>
      </c>
      <c r="H82" s="67">
        <f>25200</f>
        <v>25200</v>
      </c>
      <c r="I82" s="8" t="s">
        <v>35</v>
      </c>
      <c r="J82" s="8" t="s">
        <v>35</v>
      </c>
    </row>
    <row r="83" spans="1:10" ht="25.5" customHeight="1">
      <c r="A83" s="4"/>
      <c r="B83" s="10"/>
      <c r="C83" s="19"/>
      <c r="D83" s="7"/>
      <c r="E83" s="63"/>
      <c r="F83" s="4">
        <v>37</v>
      </c>
      <c r="G83" s="10" t="s">
        <v>172</v>
      </c>
      <c r="H83" s="67">
        <v>3105660</v>
      </c>
      <c r="I83" s="8" t="s">
        <v>35</v>
      </c>
      <c r="J83" s="8" t="s">
        <v>35</v>
      </c>
    </row>
    <row r="84" spans="1:10" ht="25.5" customHeight="1">
      <c r="A84" s="4"/>
      <c r="B84" s="10"/>
      <c r="C84" s="19"/>
      <c r="D84" s="7"/>
      <c r="E84" s="63"/>
      <c r="F84" s="4">
        <v>38</v>
      </c>
      <c r="G84" s="10" t="s">
        <v>173</v>
      </c>
      <c r="H84" s="67">
        <v>6278649</v>
      </c>
      <c r="I84" s="8"/>
      <c r="J84" s="63" t="s">
        <v>64</v>
      </c>
    </row>
    <row r="85" spans="1:10" ht="25.5" customHeight="1" thickBot="1">
      <c r="A85" s="4"/>
      <c r="B85" s="10"/>
      <c r="C85" s="19"/>
      <c r="D85" s="7"/>
      <c r="E85" s="63"/>
      <c r="F85" s="4">
        <v>39</v>
      </c>
      <c r="G85" s="10" t="s">
        <v>174</v>
      </c>
      <c r="H85" s="67">
        <f>66500</f>
        <v>66500</v>
      </c>
      <c r="I85" s="7"/>
      <c r="J85" s="63" t="s">
        <v>64</v>
      </c>
    </row>
    <row r="86" spans="1:10" ht="25.5" customHeight="1" thickTop="1" thickBot="1">
      <c r="A86" s="30"/>
      <c r="B86" s="31" t="s">
        <v>72</v>
      </c>
      <c r="C86" s="34">
        <f>SUM(C47:C85)</f>
        <v>225304000</v>
      </c>
      <c r="D86" s="43"/>
      <c r="E86" s="62"/>
      <c r="F86" s="30"/>
      <c r="G86" s="31" t="s">
        <v>72</v>
      </c>
      <c r="H86" s="34">
        <f>SUM(H47:H83)</f>
        <v>65637750</v>
      </c>
      <c r="I86" s="47" t="s">
        <v>73</v>
      </c>
      <c r="J86" s="62"/>
    </row>
    <row r="87" spans="1:10" ht="14.25">
      <c r="A87" s="2"/>
      <c r="B87" s="2"/>
      <c r="C87" s="2"/>
      <c r="D87" s="2"/>
      <c r="E87" s="2"/>
      <c r="F87" s="2"/>
      <c r="G87" s="2"/>
      <c r="H87" s="2"/>
      <c r="I87" s="3"/>
      <c r="J87" s="3"/>
    </row>
  </sheetData>
  <mergeCells count="17">
    <mergeCell ref="A2:J3"/>
    <mergeCell ref="A5:I5"/>
    <mergeCell ref="A6:G6"/>
    <mergeCell ref="A7:B7"/>
    <mergeCell ref="C7:E7"/>
    <mergeCell ref="F7:G7"/>
    <mergeCell ref="H7:J7"/>
    <mergeCell ref="A44:G44"/>
    <mergeCell ref="A45:E45"/>
    <mergeCell ref="F45:J45"/>
    <mergeCell ref="A8:B9"/>
    <mergeCell ref="C8:E9"/>
    <mergeCell ref="F8:G9"/>
    <mergeCell ref="H8:J9"/>
    <mergeCell ref="A11:G11"/>
    <mergeCell ref="A12:E12"/>
    <mergeCell ref="F12:J12"/>
  </mergeCells>
  <phoneticPr fontId="2" type="noConversion"/>
  <pageMargins left="0" right="0" top="0.39370078740157483" bottom="0" header="0.31496062992125984" footer="0.31496062992125984"/>
  <pageSetup paperSize="9" scale="52" orientation="portrait" r:id="rId1"/>
  <rowBreaks count="1" manualBreakCount="1">
    <brk id="43" max="9" man="1"/>
  </rowBreaks>
  <colBreaks count="1" manualBreakCount="1">
    <brk id="10" min="1" max="67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F6B52-1A23-4EBE-8068-D8A55AF29DD8}">
  <sheetPr>
    <tabColor rgb="FF00B0F0"/>
  </sheetPr>
  <dimension ref="A1:U99"/>
  <sheetViews>
    <sheetView view="pageBreakPreview" topLeftCell="A54" zoomScaleNormal="100" zoomScaleSheetLayoutView="100" workbookViewId="0">
      <selection activeCell="A12" sqref="A12:E61"/>
    </sheetView>
  </sheetViews>
  <sheetFormatPr defaultRowHeight="16.5"/>
  <cols>
    <col min="1" max="1" width="4.5" customWidth="1"/>
    <col min="2" max="2" width="43.5" customWidth="1"/>
    <col min="3" max="5" width="17.125" customWidth="1"/>
    <col min="6" max="6" width="4.5" customWidth="1"/>
    <col min="7" max="7" width="40.875" customWidth="1"/>
    <col min="8" max="9" width="17.25" customWidth="1"/>
    <col min="10" max="10" width="17.25" style="13" customWidth="1"/>
    <col min="11" max="11" width="25" style="13" bestFit="1" customWidth="1"/>
  </cols>
  <sheetData>
    <row r="1" spans="1:12" ht="36.75" customHeight="1"/>
    <row r="2" spans="1:12" ht="21.95" customHeight="1">
      <c r="A2" s="811" t="s">
        <v>14</v>
      </c>
      <c r="B2" s="811"/>
      <c r="C2" s="811"/>
      <c r="D2" s="811"/>
      <c r="E2" s="811"/>
      <c r="F2" s="811"/>
      <c r="G2" s="811"/>
      <c r="H2" s="811"/>
      <c r="I2" s="811"/>
      <c r="J2" s="811"/>
      <c r="K2" s="811"/>
    </row>
    <row r="3" spans="1:12" ht="12" customHeight="1">
      <c r="A3" s="811"/>
      <c r="B3" s="811"/>
      <c r="C3" s="811"/>
      <c r="D3" s="811"/>
      <c r="E3" s="811"/>
      <c r="F3" s="811"/>
      <c r="G3" s="811"/>
      <c r="H3" s="811"/>
      <c r="I3" s="811"/>
      <c r="J3" s="811"/>
      <c r="K3" s="811"/>
    </row>
    <row r="4" spans="1:12" ht="21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2" ht="18" customHeight="1">
      <c r="A5" s="818" t="s">
        <v>175</v>
      </c>
      <c r="B5" s="818"/>
      <c r="C5" s="818"/>
      <c r="D5" s="818"/>
      <c r="E5" s="818"/>
      <c r="F5" s="818"/>
      <c r="G5" s="818"/>
      <c r="H5" s="818"/>
      <c r="I5" s="818"/>
      <c r="J5" s="818"/>
      <c r="K5" s="689"/>
    </row>
    <row r="6" spans="1:12" ht="18" customHeight="1" thickBot="1">
      <c r="A6" s="818" t="s">
        <v>16</v>
      </c>
      <c r="B6" s="819"/>
      <c r="C6" s="819"/>
      <c r="D6" s="819"/>
      <c r="E6" s="819"/>
      <c r="F6" s="819"/>
      <c r="G6" s="819"/>
      <c r="H6" s="690"/>
      <c r="I6" s="690"/>
      <c r="J6" s="3"/>
      <c r="K6" s="3"/>
    </row>
    <row r="7" spans="1:12" ht="27.75" customHeight="1" thickBot="1">
      <c r="A7" s="843" t="s">
        <v>17</v>
      </c>
      <c r="B7" s="844"/>
      <c r="C7" s="837" t="s">
        <v>18</v>
      </c>
      <c r="D7" s="828"/>
      <c r="E7" s="838"/>
      <c r="F7" s="837" t="s">
        <v>19</v>
      </c>
      <c r="G7" s="838"/>
      <c r="H7" s="828" t="s">
        <v>20</v>
      </c>
      <c r="I7" s="828"/>
      <c r="J7" s="828"/>
      <c r="K7" s="829"/>
    </row>
    <row r="8" spans="1:12" ht="18" customHeight="1" thickTop="1" thickBot="1">
      <c r="A8" s="824">
        <f>'3월26일'!$H$8</f>
        <v>10208806</v>
      </c>
      <c r="B8" s="825"/>
      <c r="C8" s="812">
        <f>C61</f>
        <v>226686198</v>
      </c>
      <c r="D8" s="813"/>
      <c r="E8" s="814"/>
      <c r="F8" s="839">
        <f>SUM(H61)</f>
        <v>61722620</v>
      </c>
      <c r="G8" s="840"/>
      <c r="H8" s="830">
        <f>SUM(A8:E9)-F8</f>
        <v>175172384</v>
      </c>
      <c r="I8" s="830"/>
      <c r="J8" s="830"/>
      <c r="K8" s="831"/>
    </row>
    <row r="9" spans="1:12" ht="22.5" customHeight="1" thickTop="1" thickBot="1">
      <c r="A9" s="826"/>
      <c r="B9" s="827"/>
      <c r="C9" s="815"/>
      <c r="D9" s="816"/>
      <c r="E9" s="817"/>
      <c r="F9" s="841"/>
      <c r="G9" s="842"/>
      <c r="H9" s="832"/>
      <c r="I9" s="832"/>
      <c r="J9" s="832"/>
      <c r="K9" s="833"/>
    </row>
    <row r="10" spans="1:12" ht="18" customHeight="1">
      <c r="A10" s="689"/>
      <c r="B10" s="690"/>
      <c r="C10" s="690"/>
      <c r="D10" s="690"/>
      <c r="E10" s="690"/>
      <c r="F10" s="690"/>
      <c r="G10" s="690"/>
      <c r="H10" s="690"/>
      <c r="I10" s="690"/>
      <c r="J10" s="23"/>
      <c r="K10" s="23"/>
    </row>
    <row r="11" spans="1:12" ht="32.25" customHeight="1" thickBot="1">
      <c r="A11" s="818" t="s">
        <v>21</v>
      </c>
      <c r="B11" s="819"/>
      <c r="C11" s="819"/>
      <c r="D11" s="819"/>
      <c r="E11" s="819"/>
      <c r="F11" s="819"/>
      <c r="G11" s="819"/>
      <c r="H11" s="690"/>
      <c r="I11" s="690"/>
      <c r="J11" s="3"/>
      <c r="K11" s="3"/>
    </row>
    <row r="12" spans="1:12" ht="32.25" customHeight="1">
      <c r="A12" s="845" t="s">
        <v>176</v>
      </c>
      <c r="B12" s="846"/>
      <c r="C12" s="846"/>
      <c r="D12" s="846"/>
      <c r="E12" s="847"/>
      <c r="F12" s="835" t="s">
        <v>177</v>
      </c>
      <c r="G12" s="835"/>
      <c r="H12" s="835"/>
      <c r="I12" s="835"/>
      <c r="J12" s="835"/>
      <c r="K12" s="836"/>
    </row>
    <row r="13" spans="1:12" ht="32.25" customHeight="1">
      <c r="A13" s="646" t="s">
        <v>24</v>
      </c>
      <c r="B13" s="28" t="s">
        <v>25</v>
      </c>
      <c r="C13" s="26" t="s">
        <v>108</v>
      </c>
      <c r="D13" s="26" t="s">
        <v>27</v>
      </c>
      <c r="E13" s="647" t="s">
        <v>10</v>
      </c>
      <c r="F13" s="645" t="s">
        <v>24</v>
      </c>
      <c r="G13" s="375" t="s">
        <v>25</v>
      </c>
      <c r="H13" s="376" t="s">
        <v>26</v>
      </c>
      <c r="I13" s="376"/>
      <c r="J13" s="376" t="s">
        <v>27</v>
      </c>
      <c r="K13" s="377" t="s">
        <v>10</v>
      </c>
    </row>
    <row r="14" spans="1:12" ht="32.25" customHeight="1">
      <c r="A14" s="648">
        <v>1</v>
      </c>
      <c r="B14" s="10" t="s">
        <v>130</v>
      </c>
      <c r="C14" s="19">
        <v>1145000</v>
      </c>
      <c r="D14" s="139" t="s">
        <v>178</v>
      </c>
      <c r="E14" s="633" t="s">
        <v>30</v>
      </c>
      <c r="F14" s="667">
        <v>1</v>
      </c>
      <c r="G14" s="625" t="s">
        <v>179</v>
      </c>
      <c r="H14" s="626">
        <f>10000</f>
        <v>10000</v>
      </c>
      <c r="I14" s="626"/>
      <c r="J14" s="627">
        <v>44284</v>
      </c>
      <c r="K14" s="628" t="s">
        <v>180</v>
      </c>
    </row>
    <row r="15" spans="1:12" ht="32.25" customHeight="1">
      <c r="A15" s="648">
        <v>2</v>
      </c>
      <c r="B15" s="10" t="s">
        <v>181</v>
      </c>
      <c r="C15" s="19">
        <v>10000000</v>
      </c>
      <c r="D15" s="139" t="s">
        <v>35</v>
      </c>
      <c r="E15" s="633"/>
      <c r="F15" s="91">
        <v>2</v>
      </c>
      <c r="G15" s="141" t="s">
        <v>127</v>
      </c>
      <c r="H15" s="140">
        <v>6600000</v>
      </c>
      <c r="I15" s="140"/>
      <c r="J15" s="71">
        <v>44286</v>
      </c>
      <c r="K15" s="630" t="s">
        <v>35</v>
      </c>
      <c r="L15" s="6"/>
    </row>
    <row r="16" spans="1:12" ht="32.25" customHeight="1">
      <c r="A16" s="648">
        <v>3</v>
      </c>
      <c r="B16" s="10" t="s">
        <v>142</v>
      </c>
      <c r="C16" s="19">
        <v>11517000</v>
      </c>
      <c r="D16" s="139" t="s">
        <v>35</v>
      </c>
      <c r="E16" s="633"/>
      <c r="F16" s="91">
        <v>3</v>
      </c>
      <c r="G16" s="105" t="s">
        <v>129</v>
      </c>
      <c r="H16" s="66">
        <v>1644192</v>
      </c>
      <c r="I16" s="66"/>
      <c r="J16" s="8" t="s">
        <v>35</v>
      </c>
      <c r="K16" s="630" t="s">
        <v>35</v>
      </c>
    </row>
    <row r="17" spans="1:21" ht="32.25" customHeight="1">
      <c r="A17" s="648">
        <v>4</v>
      </c>
      <c r="B17" s="10" t="s">
        <v>125</v>
      </c>
      <c r="C17" s="19">
        <v>28017000</v>
      </c>
      <c r="D17" s="139" t="s">
        <v>35</v>
      </c>
      <c r="E17" s="633"/>
      <c r="F17" s="91">
        <v>4</v>
      </c>
      <c r="G17" s="105" t="s">
        <v>131</v>
      </c>
      <c r="H17" s="66">
        <f>3686067</f>
        <v>3686067</v>
      </c>
      <c r="I17" s="66"/>
      <c r="J17" s="8" t="s">
        <v>35</v>
      </c>
      <c r="K17" s="630" t="s">
        <v>35</v>
      </c>
    </row>
    <row r="18" spans="1:21" ht="32.25" customHeight="1">
      <c r="A18" s="648">
        <v>5</v>
      </c>
      <c r="B18" s="15" t="s">
        <v>182</v>
      </c>
      <c r="C18" s="19">
        <f>94198</f>
        <v>94198</v>
      </c>
      <c r="D18" s="139" t="s">
        <v>35</v>
      </c>
      <c r="E18" s="633"/>
      <c r="F18" s="91">
        <v>5</v>
      </c>
      <c r="G18" s="105" t="s">
        <v>133</v>
      </c>
      <c r="H18" s="66">
        <f>1228689</f>
        <v>1228689</v>
      </c>
      <c r="I18" s="66"/>
      <c r="J18" s="8" t="s">
        <v>35</v>
      </c>
      <c r="K18" s="630" t="s">
        <v>35</v>
      </c>
    </row>
    <row r="19" spans="1:21" ht="32.25" customHeight="1">
      <c r="A19" s="660">
        <v>6</v>
      </c>
      <c r="B19" s="21" t="s">
        <v>128</v>
      </c>
      <c r="C19" s="84">
        <v>9460000</v>
      </c>
      <c r="D19" s="148" t="s">
        <v>183</v>
      </c>
      <c r="E19" s="635"/>
      <c r="F19" s="91">
        <v>6</v>
      </c>
      <c r="G19" s="105" t="s">
        <v>136</v>
      </c>
      <c r="H19" s="66">
        <f>242000*3</f>
        <v>726000</v>
      </c>
      <c r="I19" s="66"/>
      <c r="J19" s="8" t="s">
        <v>35</v>
      </c>
      <c r="K19" s="630" t="s">
        <v>35</v>
      </c>
    </row>
    <row r="20" spans="1:21" ht="32.25" customHeight="1">
      <c r="A20" s="661">
        <v>7</v>
      </c>
      <c r="B20" s="150" t="s">
        <v>139</v>
      </c>
      <c r="C20" s="151">
        <v>9823000</v>
      </c>
      <c r="D20" s="152" t="s">
        <v>178</v>
      </c>
      <c r="E20" s="662" t="s">
        <v>184</v>
      </c>
      <c r="F20" s="91">
        <v>7</v>
      </c>
      <c r="G20" s="105" t="s">
        <v>138</v>
      </c>
      <c r="H20" s="66">
        <v>330000</v>
      </c>
      <c r="I20" s="66"/>
      <c r="J20" s="8" t="s">
        <v>35</v>
      </c>
      <c r="K20" s="630" t="s">
        <v>35</v>
      </c>
    </row>
    <row r="21" spans="1:21" ht="32.25" customHeight="1">
      <c r="A21" s="634">
        <v>8</v>
      </c>
      <c r="B21" s="37" t="s">
        <v>134</v>
      </c>
      <c r="C21" s="80">
        <v>143825000</v>
      </c>
      <c r="D21" s="119" t="s">
        <v>183</v>
      </c>
      <c r="E21" s="663"/>
      <c r="F21" s="91">
        <v>8</v>
      </c>
      <c r="G21" s="105" t="s">
        <v>141</v>
      </c>
      <c r="H21" s="67">
        <v>385000</v>
      </c>
      <c r="I21" s="67"/>
      <c r="J21" s="8" t="s">
        <v>35</v>
      </c>
      <c r="K21" s="630" t="s">
        <v>35</v>
      </c>
    </row>
    <row r="22" spans="1:21" ht="32.25" customHeight="1">
      <c r="A22" s="661">
        <v>9</v>
      </c>
      <c r="B22" s="150" t="s">
        <v>132</v>
      </c>
      <c r="C22" s="151">
        <v>12805000</v>
      </c>
      <c r="D22" s="152" t="s">
        <v>35</v>
      </c>
      <c r="E22" s="662" t="s">
        <v>185</v>
      </c>
      <c r="F22" s="91">
        <v>9</v>
      </c>
      <c r="G22" s="105" t="s">
        <v>143</v>
      </c>
      <c r="H22" s="67">
        <f>3850000</f>
        <v>3850000</v>
      </c>
      <c r="I22" s="67"/>
      <c r="J22" s="8" t="s">
        <v>35</v>
      </c>
      <c r="K22" s="630" t="s">
        <v>35</v>
      </c>
    </row>
    <row r="23" spans="1:21" ht="32.25" customHeight="1">
      <c r="A23" s="629"/>
      <c r="B23" s="143"/>
      <c r="C23" s="144"/>
      <c r="D23" s="110"/>
      <c r="E23" s="664"/>
      <c r="F23" s="91">
        <v>10</v>
      </c>
      <c r="G23" s="105" t="s">
        <v>144</v>
      </c>
      <c r="H23" s="67">
        <f>660000</f>
        <v>660000</v>
      </c>
      <c r="I23" s="67"/>
      <c r="J23" s="106" t="s">
        <v>35</v>
      </c>
      <c r="K23" s="631" t="s">
        <v>35</v>
      </c>
    </row>
    <row r="24" spans="1:21" ht="32.25" customHeight="1">
      <c r="A24" s="648"/>
      <c r="B24" s="21"/>
      <c r="C24" s="84"/>
      <c r="D24" s="82"/>
      <c r="E24" s="633"/>
      <c r="F24" s="91">
        <v>11</v>
      </c>
      <c r="G24" s="105" t="s">
        <v>145</v>
      </c>
      <c r="H24" s="67">
        <f>1672000+2640000</f>
        <v>4312000</v>
      </c>
      <c r="I24" s="67"/>
      <c r="J24" s="8" t="s">
        <v>35</v>
      </c>
      <c r="K24" s="630" t="s">
        <v>35</v>
      </c>
    </row>
    <row r="25" spans="1:21" ht="32.25" customHeight="1">
      <c r="A25" s="648"/>
      <c r="B25" s="143"/>
      <c r="C25" s="144"/>
      <c r="D25" s="110"/>
      <c r="E25" s="665"/>
      <c r="F25" s="91">
        <v>12</v>
      </c>
      <c r="G25" s="142" t="s">
        <v>146</v>
      </c>
      <c r="H25" s="67">
        <v>2838000</v>
      </c>
      <c r="I25" s="67"/>
      <c r="J25" s="8" t="s">
        <v>35</v>
      </c>
      <c r="K25" s="630" t="s">
        <v>35</v>
      </c>
    </row>
    <row r="26" spans="1:21" ht="32.25" customHeight="1">
      <c r="A26" s="648"/>
      <c r="B26" s="10"/>
      <c r="C26" s="19"/>
      <c r="D26" s="7"/>
      <c r="E26" s="633"/>
      <c r="F26" s="91">
        <v>13</v>
      </c>
      <c r="G26" s="142" t="s">
        <v>147</v>
      </c>
      <c r="H26" s="67">
        <f>940500</f>
        <v>940500</v>
      </c>
      <c r="I26" s="67"/>
      <c r="J26" s="8" t="s">
        <v>35</v>
      </c>
      <c r="K26" s="630" t="s">
        <v>35</v>
      </c>
    </row>
    <row r="27" spans="1:21" ht="32.25" customHeight="1">
      <c r="A27" s="648"/>
      <c r="B27" s="10"/>
      <c r="C27" s="19"/>
      <c r="D27" s="7"/>
      <c r="E27" s="633"/>
      <c r="F27" s="91">
        <v>14</v>
      </c>
      <c r="G27" s="142" t="s">
        <v>148</v>
      </c>
      <c r="H27" s="67">
        <v>495000</v>
      </c>
      <c r="I27" s="67"/>
      <c r="J27" s="8" t="s">
        <v>35</v>
      </c>
      <c r="K27" s="630" t="s">
        <v>35</v>
      </c>
    </row>
    <row r="28" spans="1:21" ht="32.25" customHeight="1">
      <c r="A28" s="648"/>
      <c r="B28" s="10"/>
      <c r="C28" s="19"/>
      <c r="D28" s="7"/>
      <c r="E28" s="633"/>
      <c r="F28" s="91">
        <v>15</v>
      </c>
      <c r="G28" s="141" t="s">
        <v>149</v>
      </c>
      <c r="H28" s="69">
        <v>22082460</v>
      </c>
      <c r="I28" s="69"/>
      <c r="J28" s="71" t="s">
        <v>35</v>
      </c>
      <c r="K28" s="630" t="s">
        <v>35</v>
      </c>
    </row>
    <row r="29" spans="1:21" ht="32.25" customHeight="1">
      <c r="A29" s="648"/>
      <c r="B29" s="10"/>
      <c r="C29" s="19"/>
      <c r="D29" s="7"/>
      <c r="E29" s="633"/>
      <c r="F29" s="91">
        <v>16</v>
      </c>
      <c r="G29" s="141" t="s">
        <v>186</v>
      </c>
      <c r="H29" s="69">
        <v>1699890</v>
      </c>
      <c r="I29" s="69"/>
      <c r="J29" s="71" t="s">
        <v>35</v>
      </c>
      <c r="K29" s="630" t="s">
        <v>35</v>
      </c>
    </row>
    <row r="30" spans="1:21" ht="32.25" customHeight="1">
      <c r="A30" s="648"/>
      <c r="B30" s="10"/>
      <c r="C30" s="19"/>
      <c r="D30" s="7"/>
      <c r="E30" s="633"/>
      <c r="F30" s="91">
        <v>17</v>
      </c>
      <c r="G30" s="141" t="s">
        <v>151</v>
      </c>
      <c r="H30" s="69">
        <f>4160000+25862</f>
        <v>4185862</v>
      </c>
      <c r="I30" s="69"/>
      <c r="J30" s="71">
        <v>44287</v>
      </c>
      <c r="K30" s="630" t="s">
        <v>35</v>
      </c>
    </row>
    <row r="31" spans="1:21" ht="32.25" customHeight="1">
      <c r="A31" s="648"/>
      <c r="B31" s="10"/>
      <c r="C31" s="19"/>
      <c r="D31" s="7"/>
      <c r="E31" s="633"/>
      <c r="F31" s="91">
        <v>18</v>
      </c>
      <c r="G31" s="141" t="s">
        <v>152</v>
      </c>
      <c r="H31" s="69">
        <f>203560+170020</f>
        <v>373580</v>
      </c>
      <c r="I31" s="69"/>
      <c r="J31" s="71">
        <v>44286</v>
      </c>
      <c r="K31" s="632" t="s">
        <v>35</v>
      </c>
    </row>
    <row r="32" spans="1:21" ht="32.25" customHeight="1">
      <c r="A32" s="648"/>
      <c r="B32" s="10"/>
      <c r="C32" s="19"/>
      <c r="D32" s="7"/>
      <c r="E32" s="633"/>
      <c r="F32" s="91">
        <v>19</v>
      </c>
      <c r="G32" s="105" t="s">
        <v>157</v>
      </c>
      <c r="H32" s="67">
        <f>116400</f>
        <v>116400</v>
      </c>
      <c r="I32" s="69"/>
      <c r="J32" s="71" t="s">
        <v>35</v>
      </c>
      <c r="K32" s="630" t="s">
        <v>35</v>
      </c>
      <c r="L32" s="100"/>
      <c r="M32" s="100"/>
      <c r="N32" s="100"/>
      <c r="O32" s="100"/>
      <c r="P32" s="100"/>
      <c r="Q32" s="100"/>
      <c r="R32" s="100"/>
      <c r="S32" s="100"/>
      <c r="T32" s="100"/>
      <c r="U32" s="100"/>
    </row>
    <row r="33" spans="1:21" ht="32.25" customHeight="1">
      <c r="A33" s="648"/>
      <c r="B33" s="10"/>
      <c r="C33" s="19"/>
      <c r="D33" s="7"/>
      <c r="E33" s="633"/>
      <c r="F33" s="91">
        <v>20</v>
      </c>
      <c r="G33" s="105" t="s">
        <v>158</v>
      </c>
      <c r="H33" s="67">
        <f>15200</f>
        <v>15200</v>
      </c>
      <c r="I33" s="67"/>
      <c r="J33" s="8" t="s">
        <v>35</v>
      </c>
      <c r="K33" s="630" t="s">
        <v>35</v>
      </c>
      <c r="L33" s="100"/>
      <c r="M33" s="100"/>
      <c r="N33" s="100"/>
      <c r="O33" s="100"/>
      <c r="P33" s="100"/>
      <c r="Q33" s="100"/>
      <c r="R33" s="100"/>
      <c r="S33" s="100"/>
      <c r="T33" s="100"/>
      <c r="U33" s="100"/>
    </row>
    <row r="34" spans="1:21" ht="32.25" customHeight="1">
      <c r="A34" s="648"/>
      <c r="B34" s="10"/>
      <c r="C34" s="19"/>
      <c r="D34" s="7"/>
      <c r="E34" s="633"/>
      <c r="F34" s="91">
        <v>21</v>
      </c>
      <c r="G34" s="105" t="s">
        <v>159</v>
      </c>
      <c r="H34" s="67">
        <f>3190</f>
        <v>3190</v>
      </c>
      <c r="I34" s="67"/>
      <c r="J34" s="8" t="s">
        <v>35</v>
      </c>
      <c r="K34" s="630" t="s">
        <v>35</v>
      </c>
      <c r="L34" s="100"/>
      <c r="M34" s="100"/>
      <c r="N34" s="100"/>
      <c r="O34" s="100"/>
      <c r="P34" s="100"/>
      <c r="Q34" s="100"/>
      <c r="R34" s="100"/>
      <c r="S34" s="100"/>
      <c r="T34" s="100"/>
      <c r="U34" s="100"/>
    </row>
    <row r="35" spans="1:21" ht="32.25" customHeight="1">
      <c r="A35" s="648"/>
      <c r="B35" s="10"/>
      <c r="C35" s="19"/>
      <c r="D35" s="7"/>
      <c r="E35" s="633"/>
      <c r="F35" s="91">
        <v>22</v>
      </c>
      <c r="G35" s="105" t="s">
        <v>160</v>
      </c>
      <c r="H35" s="67">
        <f>15200</f>
        <v>15200</v>
      </c>
      <c r="I35" s="67"/>
      <c r="J35" s="8" t="s">
        <v>35</v>
      </c>
      <c r="K35" s="630" t="s">
        <v>35</v>
      </c>
      <c r="L35" s="100"/>
      <c r="M35" s="100"/>
      <c r="N35" s="100"/>
      <c r="O35" s="100"/>
      <c r="P35" s="100"/>
      <c r="Q35" s="100"/>
      <c r="R35" s="100"/>
      <c r="S35" s="100"/>
      <c r="T35" s="100"/>
      <c r="U35" s="100"/>
    </row>
    <row r="36" spans="1:21" ht="32.25" customHeight="1">
      <c r="A36" s="648"/>
      <c r="B36" s="10"/>
      <c r="C36" s="19"/>
      <c r="D36" s="7"/>
      <c r="E36" s="633"/>
      <c r="F36" s="91">
        <v>23</v>
      </c>
      <c r="G36" s="105" t="s">
        <v>161</v>
      </c>
      <c r="H36" s="67">
        <f>10490</f>
        <v>10490</v>
      </c>
      <c r="I36" s="67"/>
      <c r="J36" s="8" t="s">
        <v>35</v>
      </c>
      <c r="K36" s="630" t="s">
        <v>35</v>
      </c>
      <c r="L36" s="100"/>
      <c r="M36" s="100"/>
      <c r="N36" s="100"/>
      <c r="O36" s="100"/>
      <c r="P36" s="100"/>
      <c r="Q36" s="100"/>
      <c r="R36" s="100"/>
      <c r="S36" s="100"/>
      <c r="T36" s="100"/>
      <c r="U36" s="100"/>
    </row>
    <row r="37" spans="1:21" ht="32.25" customHeight="1">
      <c r="A37" s="648"/>
      <c r="B37" s="10"/>
      <c r="C37" s="19"/>
      <c r="D37" s="7"/>
      <c r="E37" s="633"/>
      <c r="F37" s="91">
        <v>24</v>
      </c>
      <c r="G37" s="105" t="s">
        <v>162</v>
      </c>
      <c r="H37" s="67">
        <f>8000</f>
        <v>8000</v>
      </c>
      <c r="I37" s="67"/>
      <c r="J37" s="8" t="s">
        <v>35</v>
      </c>
      <c r="K37" s="630" t="s">
        <v>35</v>
      </c>
      <c r="L37" s="100"/>
      <c r="M37" s="100"/>
      <c r="N37" s="100"/>
      <c r="O37" s="100"/>
      <c r="P37" s="100"/>
      <c r="Q37" s="100"/>
      <c r="R37" s="100"/>
      <c r="S37" s="100"/>
      <c r="T37" s="100"/>
      <c r="U37" s="100"/>
    </row>
    <row r="38" spans="1:21" ht="32.25" customHeight="1">
      <c r="A38" s="648"/>
      <c r="B38" s="10"/>
      <c r="C38" s="19"/>
      <c r="D38" s="7"/>
      <c r="E38" s="633"/>
      <c r="F38" s="91">
        <v>25</v>
      </c>
      <c r="G38" s="105" t="s">
        <v>163</v>
      </c>
      <c r="H38" s="67">
        <f>24000</f>
        <v>24000</v>
      </c>
      <c r="I38" s="67"/>
      <c r="J38" s="8" t="s">
        <v>35</v>
      </c>
      <c r="K38" s="630" t="s">
        <v>35</v>
      </c>
      <c r="L38" s="100"/>
      <c r="M38" s="100"/>
      <c r="N38" s="100"/>
      <c r="O38" s="100"/>
      <c r="P38" s="100"/>
      <c r="Q38" s="100"/>
      <c r="R38" s="100"/>
      <c r="S38" s="100"/>
      <c r="T38" s="100"/>
      <c r="U38" s="100"/>
    </row>
    <row r="39" spans="1:21" ht="32.25" customHeight="1">
      <c r="A39" s="648"/>
      <c r="B39" s="10"/>
      <c r="C39" s="19"/>
      <c r="D39" s="7"/>
      <c r="E39" s="633"/>
      <c r="F39" s="91">
        <v>26</v>
      </c>
      <c r="G39" s="105" t="s">
        <v>164</v>
      </c>
      <c r="H39" s="67">
        <f>8000</f>
        <v>8000</v>
      </c>
      <c r="I39" s="67"/>
      <c r="J39" s="8" t="s">
        <v>35</v>
      </c>
      <c r="K39" s="630" t="s">
        <v>35</v>
      </c>
      <c r="L39" s="100"/>
      <c r="M39" s="100"/>
      <c r="N39" s="100"/>
      <c r="O39" s="100"/>
      <c r="P39" s="100"/>
      <c r="Q39" s="100"/>
      <c r="R39" s="100"/>
      <c r="S39" s="100"/>
      <c r="T39" s="100"/>
      <c r="U39" s="100"/>
    </row>
    <row r="40" spans="1:21" ht="32.25" customHeight="1">
      <c r="A40" s="648"/>
      <c r="B40" s="10"/>
      <c r="C40" s="19"/>
      <c r="D40" s="7"/>
      <c r="E40" s="633"/>
      <c r="F40" s="91">
        <v>27</v>
      </c>
      <c r="G40" s="105" t="s">
        <v>165</v>
      </c>
      <c r="H40" s="67">
        <f>23400</f>
        <v>23400</v>
      </c>
      <c r="I40" s="67"/>
      <c r="J40" s="8" t="s">
        <v>35</v>
      </c>
      <c r="K40" s="630" t="s">
        <v>35</v>
      </c>
      <c r="L40" s="100"/>
      <c r="M40" s="100"/>
      <c r="N40" s="100"/>
      <c r="O40" s="100"/>
      <c r="P40" s="100"/>
      <c r="Q40" s="100"/>
      <c r="R40" s="100"/>
      <c r="S40" s="100"/>
      <c r="T40" s="100"/>
      <c r="U40" s="100"/>
    </row>
    <row r="41" spans="1:21" ht="32.25" customHeight="1">
      <c r="A41" s="648"/>
      <c r="B41" s="10"/>
      <c r="C41" s="19"/>
      <c r="D41" s="7"/>
      <c r="E41" s="633"/>
      <c r="F41" s="91">
        <v>28</v>
      </c>
      <c r="G41" s="105" t="s">
        <v>166</v>
      </c>
      <c r="H41" s="67">
        <f>7500</f>
        <v>7500</v>
      </c>
      <c r="I41" s="67"/>
      <c r="J41" s="8" t="s">
        <v>35</v>
      </c>
      <c r="K41" s="630" t="s">
        <v>35</v>
      </c>
      <c r="L41" s="100"/>
      <c r="M41" s="100"/>
      <c r="N41" s="100"/>
      <c r="O41" s="100"/>
      <c r="P41" s="100"/>
      <c r="Q41" s="100"/>
      <c r="R41" s="100"/>
      <c r="S41" s="100"/>
      <c r="T41" s="100"/>
      <c r="U41" s="100"/>
    </row>
    <row r="42" spans="1:21" ht="32.25" customHeight="1">
      <c r="A42" s="648"/>
      <c r="B42" s="10"/>
      <c r="C42" s="19"/>
      <c r="D42" s="7"/>
      <c r="E42" s="633"/>
      <c r="F42" s="91">
        <v>29</v>
      </c>
      <c r="G42" s="105" t="s">
        <v>167</v>
      </c>
      <c r="H42" s="67">
        <f>15000</f>
        <v>15000</v>
      </c>
      <c r="I42" s="67"/>
      <c r="J42" s="8" t="s">
        <v>35</v>
      </c>
      <c r="K42" s="630" t="s">
        <v>35</v>
      </c>
      <c r="L42" s="100"/>
      <c r="M42" s="100"/>
      <c r="N42" s="100"/>
      <c r="O42" s="100"/>
      <c r="P42" s="100"/>
      <c r="Q42" s="100"/>
      <c r="R42" s="100"/>
      <c r="S42" s="100"/>
      <c r="T42" s="100"/>
      <c r="U42" s="100"/>
    </row>
    <row r="43" spans="1:21" ht="32.25" customHeight="1">
      <c r="A43" s="648"/>
      <c r="B43" s="10"/>
      <c r="C43" s="19"/>
      <c r="D43" s="7"/>
      <c r="E43" s="633"/>
      <c r="F43" s="91">
        <v>30</v>
      </c>
      <c r="G43" s="105" t="s">
        <v>168</v>
      </c>
      <c r="H43" s="67">
        <v>35600</v>
      </c>
      <c r="I43" s="67"/>
      <c r="J43" s="8" t="s">
        <v>35</v>
      </c>
      <c r="K43" s="630" t="s">
        <v>35</v>
      </c>
      <c r="L43" s="100"/>
      <c r="M43" s="100"/>
      <c r="N43" s="100"/>
      <c r="O43" s="100"/>
      <c r="P43" s="100"/>
      <c r="Q43" s="100"/>
      <c r="R43" s="100"/>
      <c r="S43" s="100"/>
      <c r="T43" s="100"/>
      <c r="U43" s="100"/>
    </row>
    <row r="44" spans="1:21" ht="32.25" customHeight="1">
      <c r="A44" s="648"/>
      <c r="B44" s="22"/>
      <c r="C44" s="19"/>
      <c r="D44" s="7"/>
      <c r="E44" s="633"/>
      <c r="F44" s="91">
        <v>31</v>
      </c>
      <c r="G44" s="105" t="s">
        <v>169</v>
      </c>
      <c r="H44" s="67">
        <f>120000</f>
        <v>120000</v>
      </c>
      <c r="I44" s="67"/>
      <c r="J44" s="8" t="s">
        <v>35</v>
      </c>
      <c r="K44" s="630" t="s">
        <v>35</v>
      </c>
      <c r="L44" s="100"/>
      <c r="M44" s="100"/>
      <c r="N44" s="100"/>
      <c r="O44" s="100"/>
      <c r="P44" s="100"/>
      <c r="Q44" s="100"/>
      <c r="R44" s="100"/>
      <c r="S44" s="100"/>
      <c r="T44" s="100"/>
      <c r="U44" s="100"/>
    </row>
    <row r="45" spans="1:21" ht="32.25" customHeight="1">
      <c r="A45" s="648"/>
      <c r="B45" s="20"/>
      <c r="C45" s="19"/>
      <c r="D45" s="7"/>
      <c r="E45" s="633"/>
      <c r="F45" s="91">
        <v>32</v>
      </c>
      <c r="G45" s="105" t="s">
        <v>170</v>
      </c>
      <c r="H45" s="67">
        <f>25200</f>
        <v>25200</v>
      </c>
      <c r="I45" s="67"/>
      <c r="J45" s="8" t="s">
        <v>35</v>
      </c>
      <c r="K45" s="630" t="s">
        <v>35</v>
      </c>
      <c r="L45" s="100"/>
      <c r="M45" s="100"/>
      <c r="N45" s="100"/>
      <c r="O45" s="100"/>
      <c r="P45" s="100"/>
      <c r="Q45" s="100"/>
      <c r="R45" s="100"/>
      <c r="S45" s="100"/>
      <c r="T45" s="100"/>
      <c r="U45" s="100"/>
    </row>
    <row r="46" spans="1:21" ht="32.25" customHeight="1">
      <c r="A46" s="648"/>
      <c r="B46" s="20"/>
      <c r="C46" s="19"/>
      <c r="D46" s="7"/>
      <c r="E46" s="633"/>
      <c r="F46" s="91">
        <v>33</v>
      </c>
      <c r="G46" s="105" t="s">
        <v>171</v>
      </c>
      <c r="H46" s="67">
        <f>25200</f>
        <v>25200</v>
      </c>
      <c r="I46" s="67"/>
      <c r="J46" s="8" t="s">
        <v>35</v>
      </c>
      <c r="K46" s="630" t="s">
        <v>35</v>
      </c>
      <c r="L46" s="100"/>
      <c r="M46" s="100"/>
      <c r="N46" s="100"/>
      <c r="O46" s="100"/>
      <c r="P46" s="100"/>
      <c r="Q46" s="100"/>
      <c r="R46" s="100"/>
      <c r="S46" s="100"/>
      <c r="T46" s="100"/>
      <c r="U46" s="100"/>
    </row>
    <row r="47" spans="1:21" ht="32.25" customHeight="1">
      <c r="A47" s="648"/>
      <c r="B47" s="20"/>
      <c r="C47" s="19"/>
      <c r="D47" s="7"/>
      <c r="E47" s="633"/>
      <c r="F47" s="91">
        <v>34</v>
      </c>
      <c r="G47" s="105" t="s">
        <v>187</v>
      </c>
      <c r="H47" s="67">
        <f>57000</f>
        <v>57000</v>
      </c>
      <c r="I47" s="67"/>
      <c r="J47" s="8" t="s">
        <v>35</v>
      </c>
      <c r="K47" s="630" t="s">
        <v>35</v>
      </c>
      <c r="L47" s="100"/>
      <c r="M47" s="100"/>
      <c r="N47" s="100"/>
      <c r="O47" s="100"/>
      <c r="P47" s="100"/>
      <c r="Q47" s="100"/>
      <c r="R47" s="100"/>
      <c r="S47" s="100"/>
      <c r="T47" s="100"/>
      <c r="U47" s="100"/>
    </row>
    <row r="48" spans="1:21" ht="32.25" customHeight="1">
      <c r="A48" s="648"/>
      <c r="B48" s="10"/>
      <c r="C48" s="19"/>
      <c r="D48" s="7"/>
      <c r="E48" s="633"/>
      <c r="F48" s="91">
        <v>35</v>
      </c>
      <c r="G48" s="10" t="s">
        <v>173</v>
      </c>
      <c r="H48" s="67">
        <v>6278649</v>
      </c>
      <c r="I48" s="67"/>
      <c r="J48" s="8" t="s">
        <v>35</v>
      </c>
      <c r="K48" s="633" t="s">
        <v>64</v>
      </c>
      <c r="L48" s="100"/>
      <c r="M48" s="100"/>
      <c r="N48" s="100"/>
      <c r="O48" s="100"/>
      <c r="P48" s="100"/>
      <c r="Q48" s="100"/>
      <c r="R48" s="100"/>
      <c r="S48" s="100"/>
      <c r="T48" s="100"/>
      <c r="U48" s="100"/>
    </row>
    <row r="49" spans="1:21" ht="32.25" customHeight="1">
      <c r="A49" s="648"/>
      <c r="B49" s="10"/>
      <c r="C49" s="19"/>
      <c r="D49" s="7"/>
      <c r="E49" s="633"/>
      <c r="F49" s="668">
        <v>36</v>
      </c>
      <c r="G49" s="37" t="s">
        <v>174</v>
      </c>
      <c r="H49" s="145">
        <f>66500</f>
        <v>66500</v>
      </c>
      <c r="I49" s="145"/>
      <c r="J49" s="12" t="s">
        <v>35</v>
      </c>
      <c r="K49" s="635" t="s">
        <v>64</v>
      </c>
      <c r="L49" s="100"/>
      <c r="M49" s="100"/>
      <c r="N49" s="100"/>
      <c r="O49" s="100"/>
      <c r="P49" s="100"/>
      <c r="Q49" s="100"/>
      <c r="R49" s="100"/>
      <c r="S49" s="100"/>
      <c r="T49" s="100"/>
      <c r="U49" s="100"/>
    </row>
    <row r="50" spans="1:21" ht="32.25" customHeight="1">
      <c r="A50" s="637"/>
      <c r="B50" s="108"/>
      <c r="C50" s="109"/>
      <c r="D50" s="110"/>
      <c r="E50" s="665"/>
      <c r="F50" s="91">
        <v>37</v>
      </c>
      <c r="G50" s="5" t="s">
        <v>150</v>
      </c>
      <c r="H50" s="146">
        <v>3500000</v>
      </c>
      <c r="I50" s="146"/>
      <c r="J50" s="147">
        <v>44286</v>
      </c>
      <c r="K50" s="636" t="s">
        <v>188</v>
      </c>
      <c r="L50" s="100"/>
      <c r="M50" s="100"/>
      <c r="N50" s="100"/>
      <c r="O50" s="100"/>
      <c r="P50" s="100"/>
      <c r="Q50" s="100"/>
      <c r="R50" s="100"/>
      <c r="S50" s="100"/>
      <c r="T50" s="100"/>
      <c r="U50" s="100"/>
    </row>
    <row r="51" spans="1:21" ht="32.25" customHeight="1">
      <c r="A51" s="648"/>
      <c r="B51" s="10"/>
      <c r="C51" s="19"/>
      <c r="D51" s="7"/>
      <c r="E51" s="633"/>
      <c r="F51" s="91">
        <v>38</v>
      </c>
      <c r="G51" s="5" t="s">
        <v>154</v>
      </c>
      <c r="H51" s="69">
        <v>1166000</v>
      </c>
      <c r="I51" s="69"/>
      <c r="J51" s="71" t="s">
        <v>35</v>
      </c>
      <c r="K51" s="630" t="s">
        <v>189</v>
      </c>
    </row>
    <row r="52" spans="1:21" ht="32.25" customHeight="1">
      <c r="A52" s="648"/>
      <c r="B52" s="10"/>
      <c r="C52" s="19"/>
      <c r="D52" s="7"/>
      <c r="E52" s="633"/>
      <c r="F52" s="183">
        <v>39</v>
      </c>
      <c r="G52" s="143" t="s">
        <v>155</v>
      </c>
      <c r="H52" s="74">
        <v>500000</v>
      </c>
      <c r="I52" s="74"/>
      <c r="J52" s="45" t="s">
        <v>35</v>
      </c>
      <c r="K52" s="638" t="s">
        <v>35</v>
      </c>
      <c r="L52" s="100"/>
      <c r="M52" s="100"/>
      <c r="N52" s="100"/>
      <c r="O52" s="100"/>
      <c r="P52" s="100"/>
      <c r="Q52" s="100"/>
      <c r="R52" s="100"/>
      <c r="S52" s="100"/>
      <c r="T52" s="100"/>
      <c r="U52" s="100"/>
    </row>
    <row r="53" spans="1:21" ht="32.25" customHeight="1">
      <c r="A53" s="637"/>
      <c r="B53" s="108"/>
      <c r="C53" s="109"/>
      <c r="D53" s="110"/>
      <c r="E53" s="665"/>
      <c r="F53" s="669">
        <v>40</v>
      </c>
      <c r="G53" s="184" t="s">
        <v>190</v>
      </c>
      <c r="H53" s="185">
        <f>14420</f>
        <v>14420</v>
      </c>
      <c r="I53" s="185"/>
      <c r="J53" s="186">
        <v>44285</v>
      </c>
      <c r="K53" s="639" t="s">
        <v>64</v>
      </c>
      <c r="L53" s="100"/>
      <c r="M53" s="100"/>
      <c r="N53" s="100"/>
      <c r="O53" s="100"/>
      <c r="P53" s="100"/>
      <c r="Q53" s="100"/>
      <c r="R53" s="100"/>
      <c r="S53" s="100"/>
      <c r="T53" s="100"/>
      <c r="U53" s="100"/>
    </row>
    <row r="54" spans="1:21" ht="32.25" customHeight="1">
      <c r="A54" s="637"/>
      <c r="B54" s="108"/>
      <c r="C54" s="109"/>
      <c r="D54" s="110"/>
      <c r="E54" s="665"/>
      <c r="F54" s="183">
        <v>41</v>
      </c>
      <c r="G54" s="178" t="s">
        <v>191</v>
      </c>
      <c r="H54" s="168">
        <f>1140890</f>
        <v>1140890</v>
      </c>
      <c r="I54" s="168"/>
      <c r="J54" s="45" t="s">
        <v>35</v>
      </c>
      <c r="K54" s="640" t="s">
        <v>35</v>
      </c>
      <c r="L54" s="100"/>
      <c r="M54" s="100"/>
      <c r="N54" s="100"/>
      <c r="O54" s="100"/>
      <c r="P54" s="100"/>
      <c r="Q54" s="100"/>
      <c r="R54" s="100"/>
      <c r="S54" s="100"/>
      <c r="T54" s="100"/>
      <c r="U54" s="100"/>
    </row>
    <row r="55" spans="1:21" ht="32.25" customHeight="1">
      <c r="A55" s="637"/>
      <c r="B55" s="108"/>
      <c r="C55" s="109"/>
      <c r="D55" s="110"/>
      <c r="E55" s="665"/>
      <c r="F55" s="183">
        <v>42</v>
      </c>
      <c r="G55" s="108" t="s">
        <v>192</v>
      </c>
      <c r="H55" s="168">
        <f>5500</f>
        <v>5500</v>
      </c>
      <c r="I55" s="168"/>
      <c r="J55" s="45">
        <v>44286</v>
      </c>
      <c r="K55" s="640" t="s">
        <v>35</v>
      </c>
      <c r="L55" s="100"/>
      <c r="M55" s="100"/>
      <c r="N55" s="100"/>
      <c r="O55" s="100"/>
      <c r="P55" s="100"/>
      <c r="Q55" s="100"/>
      <c r="R55" s="100"/>
      <c r="S55" s="100"/>
      <c r="T55" s="100"/>
      <c r="U55" s="100"/>
    </row>
    <row r="56" spans="1:21" ht="32.25" customHeight="1">
      <c r="A56" s="637"/>
      <c r="B56" s="108"/>
      <c r="C56" s="109"/>
      <c r="D56" s="110"/>
      <c r="E56" s="665"/>
      <c r="F56" s="183">
        <v>43</v>
      </c>
      <c r="G56" s="108" t="s">
        <v>193</v>
      </c>
      <c r="H56" s="168">
        <f>3010000</f>
        <v>3010000</v>
      </c>
      <c r="I56" s="168"/>
      <c r="J56" s="45" t="s">
        <v>35</v>
      </c>
      <c r="K56" s="640" t="s">
        <v>35</v>
      </c>
      <c r="L56" s="100"/>
      <c r="M56" s="100"/>
      <c r="N56" s="100"/>
      <c r="O56" s="100"/>
      <c r="P56" s="100"/>
      <c r="Q56" s="100"/>
      <c r="R56" s="100"/>
      <c r="S56" s="100"/>
      <c r="T56" s="100"/>
      <c r="U56" s="100"/>
    </row>
    <row r="57" spans="1:21" ht="32.25" customHeight="1">
      <c r="A57" s="637"/>
      <c r="B57" s="108"/>
      <c r="C57" s="109"/>
      <c r="D57" s="110"/>
      <c r="E57" s="665"/>
      <c r="F57" s="183">
        <v>44</v>
      </c>
      <c r="G57" s="108" t="s">
        <v>194</v>
      </c>
      <c r="H57" s="168">
        <f>224300</f>
        <v>224300</v>
      </c>
      <c r="I57" s="168"/>
      <c r="J57" s="45" t="s">
        <v>35</v>
      </c>
      <c r="K57" s="640" t="s">
        <v>35</v>
      </c>
      <c r="L57" s="100"/>
      <c r="M57" s="100"/>
      <c r="N57" s="100"/>
      <c r="O57" s="100"/>
      <c r="P57" s="100"/>
      <c r="Q57" s="100"/>
      <c r="R57" s="100"/>
      <c r="S57" s="100"/>
      <c r="T57" s="100"/>
      <c r="U57" s="100"/>
    </row>
    <row r="58" spans="1:21" ht="32.25" customHeight="1">
      <c r="A58" s="637"/>
      <c r="B58" s="108"/>
      <c r="C58" s="109"/>
      <c r="D58" s="110"/>
      <c r="E58" s="665"/>
      <c r="F58" s="183">
        <v>45</v>
      </c>
      <c r="G58" s="178" t="s">
        <v>195</v>
      </c>
      <c r="H58" s="168">
        <f>44000</f>
        <v>44000</v>
      </c>
      <c r="I58" s="168"/>
      <c r="J58" s="45">
        <v>44287</v>
      </c>
      <c r="K58" s="640" t="s">
        <v>35</v>
      </c>
      <c r="L58" s="100"/>
      <c r="M58" s="100"/>
      <c r="N58" s="100"/>
      <c r="O58" s="100"/>
      <c r="P58" s="100"/>
      <c r="Q58" s="100"/>
      <c r="R58" s="100"/>
      <c r="S58" s="100"/>
      <c r="T58" s="100"/>
      <c r="U58" s="100"/>
    </row>
    <row r="59" spans="1:21" ht="32.25" customHeight="1">
      <c r="A59" s="637"/>
      <c r="B59" s="108"/>
      <c r="C59" s="109"/>
      <c r="D59" s="110"/>
      <c r="E59" s="665"/>
      <c r="F59" s="183">
        <v>46</v>
      </c>
      <c r="G59" s="178" t="s">
        <v>196</v>
      </c>
      <c r="H59" s="168">
        <f>21850</f>
        <v>21850</v>
      </c>
      <c r="I59" s="168"/>
      <c r="J59" s="45">
        <v>44288</v>
      </c>
      <c r="K59" s="640"/>
      <c r="L59" s="100"/>
      <c r="M59" s="100"/>
      <c r="N59" s="100"/>
      <c r="O59" s="100"/>
      <c r="P59" s="100"/>
      <c r="Q59" s="100"/>
      <c r="R59" s="100"/>
      <c r="S59" s="100"/>
      <c r="T59" s="100"/>
      <c r="U59" s="100"/>
    </row>
    <row r="60" spans="1:21" ht="32.25" customHeight="1">
      <c r="A60" s="637"/>
      <c r="B60" s="108"/>
      <c r="C60" s="109"/>
      <c r="D60" s="110"/>
      <c r="E60" s="665"/>
      <c r="F60" s="183">
        <v>47</v>
      </c>
      <c r="G60" s="178" t="s">
        <v>197</v>
      </c>
      <c r="H60" s="168">
        <f>3570</f>
        <v>3570</v>
      </c>
      <c r="I60" s="168"/>
      <c r="J60" s="45" t="s">
        <v>35</v>
      </c>
      <c r="K60" s="640"/>
      <c r="L60" s="100"/>
      <c r="M60" s="100"/>
      <c r="N60" s="100"/>
      <c r="O60" s="100"/>
      <c r="P60" s="100"/>
      <c r="Q60" s="100"/>
      <c r="R60" s="100"/>
      <c r="S60" s="100"/>
      <c r="T60" s="100"/>
      <c r="U60" s="100"/>
    </row>
    <row r="61" spans="1:21" ht="32.25" customHeight="1">
      <c r="A61" s="654"/>
      <c r="B61" s="641" t="s">
        <v>72</v>
      </c>
      <c r="C61" s="666">
        <f>SUM(C14:C52)</f>
        <v>226686198</v>
      </c>
      <c r="D61" s="657"/>
      <c r="E61" s="655"/>
      <c r="F61" s="670"/>
      <c r="G61" s="641" t="s">
        <v>72</v>
      </c>
      <c r="H61" s="642">
        <f>SUM(H14:H47,H50:H52)</f>
        <v>61722620</v>
      </c>
      <c r="I61" s="642"/>
      <c r="J61" s="643" t="s">
        <v>73</v>
      </c>
      <c r="K61" s="644"/>
    </row>
    <row r="62" spans="1:21" ht="25.5" customHeight="1">
      <c r="A62" s="820" t="s">
        <v>74</v>
      </c>
      <c r="B62" s="821"/>
      <c r="C62" s="821"/>
      <c r="D62" s="821"/>
      <c r="E62" s="821"/>
      <c r="F62" s="821"/>
      <c r="G62" s="821"/>
      <c r="H62" s="691"/>
      <c r="I62" s="691"/>
      <c r="J62" s="11"/>
      <c r="K62" s="11"/>
    </row>
    <row r="63" spans="1:21" ht="30" customHeight="1">
      <c r="A63" s="845" t="s">
        <v>198</v>
      </c>
      <c r="B63" s="846"/>
      <c r="C63" s="846"/>
      <c r="D63" s="846"/>
      <c r="E63" s="847"/>
      <c r="F63" s="846" t="s">
        <v>199</v>
      </c>
      <c r="G63" s="846"/>
      <c r="H63" s="846"/>
      <c r="I63" s="846"/>
      <c r="J63" s="846"/>
      <c r="K63" s="847"/>
    </row>
    <row r="64" spans="1:21" ht="30" customHeight="1" thickBot="1">
      <c r="A64" s="646" t="s">
        <v>24</v>
      </c>
      <c r="B64" s="28" t="s">
        <v>25</v>
      </c>
      <c r="C64" s="26" t="s">
        <v>108</v>
      </c>
      <c r="D64" s="26" t="s">
        <v>27</v>
      </c>
      <c r="E64" s="647" t="s">
        <v>10</v>
      </c>
      <c r="F64" s="88" t="s">
        <v>24</v>
      </c>
      <c r="G64" s="28" t="s">
        <v>25</v>
      </c>
      <c r="H64" s="26" t="s">
        <v>26</v>
      </c>
      <c r="I64" s="26" t="s">
        <v>200</v>
      </c>
      <c r="J64" s="26" t="s">
        <v>27</v>
      </c>
      <c r="K64" s="647" t="s">
        <v>10</v>
      </c>
    </row>
    <row r="65" spans="1:11" ht="30" customHeight="1" thickTop="1">
      <c r="A65" s="648">
        <v>1</v>
      </c>
      <c r="B65" s="10" t="s">
        <v>201</v>
      </c>
      <c r="C65" s="19">
        <v>8712000</v>
      </c>
      <c r="D65" s="139" t="s">
        <v>202</v>
      </c>
      <c r="E65" s="633"/>
      <c r="F65" s="89">
        <v>1</v>
      </c>
      <c r="G65" s="157" t="s">
        <v>203</v>
      </c>
      <c r="H65" s="65"/>
      <c r="I65" s="65">
        <v>737973</v>
      </c>
      <c r="J65" s="68">
        <v>44291</v>
      </c>
      <c r="K65" s="649" t="s">
        <v>109</v>
      </c>
    </row>
    <row r="66" spans="1:11" ht="30" customHeight="1">
      <c r="A66" s="648">
        <v>2</v>
      </c>
      <c r="B66" s="10" t="s">
        <v>204</v>
      </c>
      <c r="C66" s="19">
        <v>16500000</v>
      </c>
      <c r="D66" s="139" t="s">
        <v>205</v>
      </c>
      <c r="E66" s="633"/>
      <c r="F66" s="89">
        <v>2</v>
      </c>
      <c r="G66" s="154" t="s">
        <v>206</v>
      </c>
      <c r="H66" s="140"/>
      <c r="I66" s="140">
        <v>21800</v>
      </c>
      <c r="J66" s="71" t="s">
        <v>35</v>
      </c>
      <c r="K66" s="649"/>
    </row>
    <row r="67" spans="1:11" ht="30" customHeight="1">
      <c r="A67" s="648"/>
      <c r="B67" s="10"/>
      <c r="C67" s="19"/>
      <c r="D67" s="139"/>
      <c r="E67" s="633"/>
      <c r="F67" s="89">
        <v>3</v>
      </c>
      <c r="G67" s="154" t="s">
        <v>207</v>
      </c>
      <c r="H67" s="66">
        <f>298742857</f>
        <v>298742857</v>
      </c>
      <c r="I67" s="161">
        <v>261273051</v>
      </c>
      <c r="J67" s="8">
        <v>44295</v>
      </c>
      <c r="K67" s="630" t="s">
        <v>180</v>
      </c>
    </row>
    <row r="68" spans="1:11" ht="30" customHeight="1">
      <c r="A68" s="648"/>
      <c r="B68" s="10"/>
      <c r="C68" s="19"/>
      <c r="D68" s="7"/>
      <c r="E68" s="633"/>
      <c r="F68" s="89">
        <v>4</v>
      </c>
      <c r="G68" s="154" t="s">
        <v>208</v>
      </c>
      <c r="H68" s="9">
        <f>8333333</f>
        <v>8333333</v>
      </c>
      <c r="I68" s="158">
        <f>H68-(H68*3.3%)</f>
        <v>8058333.0109999999</v>
      </c>
      <c r="J68" s="8" t="s">
        <v>35</v>
      </c>
      <c r="K68" s="630" t="s">
        <v>35</v>
      </c>
    </row>
    <row r="69" spans="1:11" ht="30" customHeight="1">
      <c r="A69" s="648"/>
      <c r="B69" s="10"/>
      <c r="C69" s="19"/>
      <c r="D69" s="7"/>
      <c r="E69" s="633"/>
      <c r="F69" s="89">
        <v>5</v>
      </c>
      <c r="G69" s="154" t="s">
        <v>209</v>
      </c>
      <c r="H69" s="7">
        <v>5500000</v>
      </c>
      <c r="I69" s="158">
        <f t="shared" ref="I69:I80" si="0">H69-(H69*3.3%)</f>
        <v>5318500</v>
      </c>
      <c r="J69" s="8" t="s">
        <v>35</v>
      </c>
      <c r="K69" s="630" t="s">
        <v>35</v>
      </c>
    </row>
    <row r="70" spans="1:11" ht="30" customHeight="1">
      <c r="A70" s="648"/>
      <c r="B70" s="10"/>
      <c r="C70" s="19"/>
      <c r="D70" s="7"/>
      <c r="E70" s="633"/>
      <c r="F70" s="89">
        <v>6</v>
      </c>
      <c r="G70" s="154" t="s">
        <v>210</v>
      </c>
      <c r="H70" s="66">
        <f>6000000</f>
        <v>6000000</v>
      </c>
      <c r="I70" s="158">
        <f t="shared" si="0"/>
        <v>5802000</v>
      </c>
      <c r="J70" s="8" t="s">
        <v>35</v>
      </c>
      <c r="K70" s="630" t="s">
        <v>211</v>
      </c>
    </row>
    <row r="71" spans="1:11" ht="30" customHeight="1">
      <c r="A71" s="648"/>
      <c r="B71" s="10"/>
      <c r="C71" s="19"/>
      <c r="D71" s="7"/>
      <c r="E71" s="633"/>
      <c r="F71" s="89">
        <v>7</v>
      </c>
      <c r="G71" s="154" t="s">
        <v>212</v>
      </c>
      <c r="H71" s="9">
        <v>6500000</v>
      </c>
      <c r="I71" s="158">
        <f t="shared" si="0"/>
        <v>6285500</v>
      </c>
      <c r="J71" s="8" t="s">
        <v>35</v>
      </c>
      <c r="K71" s="630" t="s">
        <v>35</v>
      </c>
    </row>
    <row r="72" spans="1:11" ht="30" customHeight="1">
      <c r="A72" s="648"/>
      <c r="B72" s="10"/>
      <c r="C72" s="19"/>
      <c r="D72" s="7"/>
      <c r="E72" s="633"/>
      <c r="F72" s="89">
        <v>8</v>
      </c>
      <c r="G72" s="154" t="s">
        <v>213</v>
      </c>
      <c r="H72" s="7">
        <f>4000000</f>
        <v>4000000</v>
      </c>
      <c r="I72" s="158">
        <f t="shared" si="0"/>
        <v>3868000</v>
      </c>
      <c r="J72" s="106" t="s">
        <v>35</v>
      </c>
      <c r="K72" s="630" t="s">
        <v>35</v>
      </c>
    </row>
    <row r="73" spans="1:11" ht="30" customHeight="1">
      <c r="A73" s="648"/>
      <c r="B73" s="10"/>
      <c r="C73" s="19"/>
      <c r="D73" s="7"/>
      <c r="E73" s="633"/>
      <c r="F73" s="89">
        <v>9</v>
      </c>
      <c r="G73" s="154" t="s">
        <v>214</v>
      </c>
      <c r="H73" s="7">
        <v>4000000</v>
      </c>
      <c r="I73" s="158">
        <f t="shared" si="0"/>
        <v>3868000</v>
      </c>
      <c r="J73" s="106" t="s">
        <v>35</v>
      </c>
      <c r="K73" s="630" t="s">
        <v>35</v>
      </c>
    </row>
    <row r="74" spans="1:11" ht="30" customHeight="1">
      <c r="A74" s="648"/>
      <c r="B74" s="10"/>
      <c r="C74" s="19"/>
      <c r="D74" s="7"/>
      <c r="E74" s="633"/>
      <c r="F74" s="89">
        <v>10</v>
      </c>
      <c r="G74" s="154" t="s">
        <v>215</v>
      </c>
      <c r="H74" s="7">
        <v>3800000</v>
      </c>
      <c r="I74" s="158">
        <f t="shared" si="0"/>
        <v>3674600</v>
      </c>
      <c r="J74" s="106" t="s">
        <v>35</v>
      </c>
      <c r="K74" s="630" t="s">
        <v>35</v>
      </c>
    </row>
    <row r="75" spans="1:11" ht="30" customHeight="1">
      <c r="A75" s="648"/>
      <c r="B75" s="10"/>
      <c r="C75" s="19"/>
      <c r="D75" s="7"/>
      <c r="E75" s="633"/>
      <c r="F75" s="89">
        <v>11</v>
      </c>
      <c r="G75" s="154" t="s">
        <v>216</v>
      </c>
      <c r="H75" s="7">
        <v>5500000</v>
      </c>
      <c r="I75" s="158">
        <f t="shared" si="0"/>
        <v>5318500</v>
      </c>
      <c r="J75" s="106" t="s">
        <v>35</v>
      </c>
      <c r="K75" s="630" t="s">
        <v>35</v>
      </c>
    </row>
    <row r="76" spans="1:11" ht="30" customHeight="1">
      <c r="A76" s="648"/>
      <c r="B76" s="10"/>
      <c r="C76" s="19"/>
      <c r="D76" s="7"/>
      <c r="E76" s="633"/>
      <c r="F76" s="89">
        <v>12</v>
      </c>
      <c r="G76" s="154" t="s">
        <v>217</v>
      </c>
      <c r="H76" s="7">
        <v>4500000</v>
      </c>
      <c r="I76" s="158">
        <f t="shared" si="0"/>
        <v>4351500</v>
      </c>
      <c r="J76" s="106" t="s">
        <v>35</v>
      </c>
      <c r="K76" s="630" t="s">
        <v>35</v>
      </c>
    </row>
    <row r="77" spans="1:11" ht="30" customHeight="1">
      <c r="A77" s="648"/>
      <c r="B77" s="10"/>
      <c r="C77" s="19"/>
      <c r="D77" s="7"/>
      <c r="E77" s="633"/>
      <c r="F77" s="89">
        <v>13</v>
      </c>
      <c r="G77" s="154" t="s">
        <v>218</v>
      </c>
      <c r="H77" s="7">
        <v>6000000</v>
      </c>
      <c r="I77" s="158">
        <f t="shared" si="0"/>
        <v>5802000</v>
      </c>
      <c r="J77" s="106" t="s">
        <v>35</v>
      </c>
      <c r="K77" s="630" t="s">
        <v>35</v>
      </c>
    </row>
    <row r="78" spans="1:11" ht="30" customHeight="1">
      <c r="A78" s="648"/>
      <c r="B78" s="10"/>
      <c r="C78" s="19"/>
      <c r="D78" s="7"/>
      <c r="E78" s="633"/>
      <c r="F78" s="89">
        <v>14</v>
      </c>
      <c r="G78" s="154" t="s">
        <v>219</v>
      </c>
      <c r="H78" s="7">
        <v>4300000</v>
      </c>
      <c r="I78" s="158">
        <f t="shared" si="0"/>
        <v>4158100</v>
      </c>
      <c r="J78" s="106" t="s">
        <v>35</v>
      </c>
      <c r="K78" s="630" t="s">
        <v>35</v>
      </c>
    </row>
    <row r="79" spans="1:11" ht="30" customHeight="1">
      <c r="A79" s="648"/>
      <c r="B79" s="10"/>
      <c r="C79" s="19"/>
      <c r="D79" s="7"/>
      <c r="E79" s="633"/>
      <c r="F79" s="89">
        <v>15</v>
      </c>
      <c r="G79" s="162" t="s">
        <v>220</v>
      </c>
      <c r="H79" s="165">
        <f>5500000</f>
        <v>5500000</v>
      </c>
      <c r="I79" s="158">
        <f t="shared" si="0"/>
        <v>5318500</v>
      </c>
      <c r="J79" s="106" t="s">
        <v>35</v>
      </c>
      <c r="K79" s="632" t="s">
        <v>221</v>
      </c>
    </row>
    <row r="80" spans="1:11" ht="30" customHeight="1">
      <c r="A80" s="648"/>
      <c r="B80" s="10"/>
      <c r="C80" s="19"/>
      <c r="D80" s="7"/>
      <c r="E80" s="633"/>
      <c r="F80" s="89">
        <v>16</v>
      </c>
      <c r="G80" s="154" t="s">
        <v>222</v>
      </c>
      <c r="H80" s="7">
        <f>6000000</f>
        <v>6000000</v>
      </c>
      <c r="I80" s="158">
        <f t="shared" si="0"/>
        <v>5802000</v>
      </c>
      <c r="J80" s="106" t="s">
        <v>35</v>
      </c>
      <c r="K80" s="630" t="s">
        <v>35</v>
      </c>
    </row>
    <row r="81" spans="1:11" ht="30" customHeight="1">
      <c r="A81" s="648"/>
      <c r="B81" s="10"/>
      <c r="C81" s="19"/>
      <c r="D81" s="7"/>
      <c r="E81" s="633"/>
      <c r="F81" s="89">
        <v>17</v>
      </c>
      <c r="G81" s="154" t="s">
        <v>223</v>
      </c>
      <c r="H81" s="7">
        <v>6500000</v>
      </c>
      <c r="I81" s="158">
        <f>H81-(H81*3.3%)</f>
        <v>6285500</v>
      </c>
      <c r="J81" s="106" t="s">
        <v>35</v>
      </c>
      <c r="K81" s="630" t="s">
        <v>35</v>
      </c>
    </row>
    <row r="82" spans="1:11" ht="30" customHeight="1">
      <c r="A82" s="648"/>
      <c r="B82" s="10"/>
      <c r="C82" s="19"/>
      <c r="D82" s="7"/>
      <c r="E82" s="633"/>
      <c r="F82" s="89">
        <v>18</v>
      </c>
      <c r="G82" s="154" t="s">
        <v>224</v>
      </c>
      <c r="H82" s="165">
        <f>4258064</f>
        <v>4258064</v>
      </c>
      <c r="I82" s="158">
        <f>H82-(H82*3.3%)</f>
        <v>4117547.8879999998</v>
      </c>
      <c r="J82" s="106" t="s">
        <v>35</v>
      </c>
      <c r="K82" s="650" t="s">
        <v>225</v>
      </c>
    </row>
    <row r="83" spans="1:11" ht="30" customHeight="1">
      <c r="A83" s="648"/>
      <c r="B83" s="10"/>
      <c r="C83" s="19"/>
      <c r="D83" s="7"/>
      <c r="E83" s="633"/>
      <c r="F83" s="89">
        <v>19</v>
      </c>
      <c r="G83" s="154" t="s">
        <v>226</v>
      </c>
      <c r="H83" s="165">
        <v>2193548</v>
      </c>
      <c r="I83" s="158">
        <f>H83-(H83*3.3%)</f>
        <v>2121160.9160000002</v>
      </c>
      <c r="J83" s="106" t="s">
        <v>35</v>
      </c>
      <c r="K83" s="650" t="s">
        <v>227</v>
      </c>
    </row>
    <row r="84" spans="1:11" ht="30" customHeight="1">
      <c r="A84" s="648"/>
      <c r="B84" s="10"/>
      <c r="C84" s="19"/>
      <c r="D84" s="7"/>
      <c r="E84" s="633"/>
      <c r="F84" s="89">
        <v>20</v>
      </c>
      <c r="G84" s="154" t="s">
        <v>228</v>
      </c>
      <c r="H84" s="165">
        <v>1870968</v>
      </c>
      <c r="I84" s="158">
        <f>H84-(H84*3.3%)</f>
        <v>1809226.0560000001</v>
      </c>
      <c r="J84" s="106" t="s">
        <v>35</v>
      </c>
      <c r="K84" s="650" t="s">
        <v>229</v>
      </c>
    </row>
    <row r="85" spans="1:11" ht="30" customHeight="1">
      <c r="A85" s="648"/>
      <c r="B85" s="10"/>
      <c r="C85" s="19"/>
      <c r="D85" s="7"/>
      <c r="E85" s="633"/>
      <c r="F85" s="89">
        <v>21</v>
      </c>
      <c r="G85" s="155" t="s">
        <v>230</v>
      </c>
      <c r="H85" s="7">
        <v>8250000</v>
      </c>
      <c r="I85" s="159">
        <v>8250000</v>
      </c>
      <c r="J85" s="106" t="s">
        <v>35</v>
      </c>
      <c r="K85" s="630" t="s">
        <v>35</v>
      </c>
    </row>
    <row r="86" spans="1:11" ht="30" customHeight="1">
      <c r="A86" s="648"/>
      <c r="B86" s="10"/>
      <c r="C86" s="19"/>
      <c r="D86" s="7"/>
      <c r="E86" s="633"/>
      <c r="F86" s="89">
        <v>22</v>
      </c>
      <c r="G86" s="156" t="s">
        <v>231</v>
      </c>
      <c r="H86" s="82">
        <v>5610000</v>
      </c>
      <c r="I86" s="160">
        <v>5610000</v>
      </c>
      <c r="J86" s="106" t="s">
        <v>35</v>
      </c>
      <c r="K86" s="630" t="s">
        <v>35</v>
      </c>
    </row>
    <row r="87" spans="1:11" ht="30" customHeight="1">
      <c r="A87" s="648"/>
      <c r="B87" s="10"/>
      <c r="C87" s="19"/>
      <c r="D87" s="7"/>
      <c r="E87" s="633"/>
      <c r="F87" s="89">
        <v>23</v>
      </c>
      <c r="G87" s="156" t="s">
        <v>232</v>
      </c>
      <c r="H87" s="82">
        <f>4700000*1.1</f>
        <v>5170000</v>
      </c>
      <c r="I87" s="160">
        <f>4700000*1.1</f>
        <v>5170000</v>
      </c>
      <c r="J87" s="106" t="s">
        <v>35</v>
      </c>
      <c r="K87" s="630" t="s">
        <v>35</v>
      </c>
    </row>
    <row r="88" spans="1:11" ht="30" customHeight="1">
      <c r="A88" s="648"/>
      <c r="B88" s="10"/>
      <c r="C88" s="19"/>
      <c r="D88" s="7"/>
      <c r="E88" s="633"/>
      <c r="F88" s="89">
        <v>24</v>
      </c>
      <c r="G88" s="155" t="s">
        <v>233</v>
      </c>
      <c r="H88" s="166">
        <v>3838710</v>
      </c>
      <c r="I88" s="160">
        <f>H88*1.1</f>
        <v>4222581</v>
      </c>
      <c r="J88" s="106" t="s">
        <v>35</v>
      </c>
      <c r="K88" s="650" t="s">
        <v>234</v>
      </c>
    </row>
    <row r="89" spans="1:11" ht="30" customHeight="1">
      <c r="A89" s="648"/>
      <c r="B89" s="10"/>
      <c r="C89" s="19"/>
      <c r="D89" s="7"/>
      <c r="E89" s="633"/>
      <c r="F89" s="89">
        <v>25</v>
      </c>
      <c r="G89" s="155" t="s">
        <v>235</v>
      </c>
      <c r="H89" s="67">
        <v>16359180</v>
      </c>
      <c r="I89" s="67"/>
      <c r="J89" s="8" t="s">
        <v>35</v>
      </c>
      <c r="K89" s="630" t="s">
        <v>35</v>
      </c>
    </row>
    <row r="90" spans="1:11" ht="30" customHeight="1">
      <c r="A90" s="648"/>
      <c r="B90" s="10"/>
      <c r="C90" s="19"/>
      <c r="D90" s="7"/>
      <c r="E90" s="633"/>
      <c r="F90" s="89">
        <v>26</v>
      </c>
      <c r="G90" s="155" t="s">
        <v>236</v>
      </c>
      <c r="H90" s="67">
        <v>20702200</v>
      </c>
      <c r="I90" s="67"/>
      <c r="J90" s="8" t="s">
        <v>35</v>
      </c>
      <c r="K90" s="630" t="s">
        <v>35</v>
      </c>
    </row>
    <row r="91" spans="1:11" ht="30" customHeight="1">
      <c r="A91" s="648"/>
      <c r="B91" s="10"/>
      <c r="C91" s="19"/>
      <c r="D91" s="7"/>
      <c r="E91" s="633"/>
      <c r="F91" s="89">
        <v>27</v>
      </c>
      <c r="G91" s="155" t="s">
        <v>237</v>
      </c>
      <c r="H91" s="67">
        <v>21419160</v>
      </c>
      <c r="I91" s="67"/>
      <c r="J91" s="8" t="s">
        <v>35</v>
      </c>
      <c r="K91" s="630" t="s">
        <v>35</v>
      </c>
    </row>
    <row r="92" spans="1:11" ht="30" customHeight="1">
      <c r="A92" s="648"/>
      <c r="B92" s="10"/>
      <c r="C92" s="19"/>
      <c r="D92" s="7"/>
      <c r="E92" s="633"/>
      <c r="F92" s="89">
        <v>28</v>
      </c>
      <c r="G92" s="155" t="s">
        <v>238</v>
      </c>
      <c r="H92" s="67">
        <v>5546930</v>
      </c>
      <c r="I92" s="67"/>
      <c r="J92" s="8" t="s">
        <v>35</v>
      </c>
      <c r="K92" s="630" t="s">
        <v>35</v>
      </c>
    </row>
    <row r="93" spans="1:11" ht="30" customHeight="1">
      <c r="A93" s="648"/>
      <c r="B93" s="10"/>
      <c r="C93" s="19"/>
      <c r="D93" s="7"/>
      <c r="E93" s="633"/>
      <c r="F93" s="89">
        <v>29</v>
      </c>
      <c r="G93" s="155" t="s">
        <v>239</v>
      </c>
      <c r="H93" s="67">
        <v>1927740</v>
      </c>
      <c r="I93" s="67"/>
      <c r="J93" s="8" t="s">
        <v>35</v>
      </c>
      <c r="K93" s="630" t="s">
        <v>35</v>
      </c>
    </row>
    <row r="94" spans="1:11" ht="30" customHeight="1">
      <c r="A94" s="648"/>
      <c r="B94" s="10"/>
      <c r="C94" s="19"/>
      <c r="D94" s="7"/>
      <c r="E94" s="633"/>
      <c r="F94" s="89">
        <v>30</v>
      </c>
      <c r="G94" s="155" t="s">
        <v>240</v>
      </c>
      <c r="H94" s="651">
        <v>24758900</v>
      </c>
      <c r="I94" s="67"/>
      <c r="J94" s="8" t="s">
        <v>35</v>
      </c>
      <c r="K94" s="630" t="s">
        <v>35</v>
      </c>
    </row>
    <row r="95" spans="1:11" ht="30" customHeight="1">
      <c r="A95" s="648"/>
      <c r="B95" s="22"/>
      <c r="C95" s="19"/>
      <c r="D95" s="7"/>
      <c r="E95" s="633"/>
      <c r="F95" s="89">
        <v>31</v>
      </c>
      <c r="G95" s="155" t="s">
        <v>241</v>
      </c>
      <c r="H95" s="67">
        <v>3500000</v>
      </c>
      <c r="I95" s="67"/>
      <c r="J95" s="8" t="s">
        <v>35</v>
      </c>
      <c r="K95" s="630" t="s">
        <v>35</v>
      </c>
    </row>
    <row r="96" spans="1:11" ht="30" customHeight="1">
      <c r="A96" s="648"/>
      <c r="B96" s="174"/>
      <c r="C96" s="29"/>
      <c r="D96" s="7"/>
      <c r="E96" s="633"/>
      <c r="F96" s="183">
        <v>32</v>
      </c>
      <c r="G96" s="167" t="s">
        <v>242</v>
      </c>
      <c r="H96" s="170">
        <v>17032890</v>
      </c>
      <c r="I96" s="168"/>
      <c r="J96" s="45">
        <v>44297</v>
      </c>
      <c r="K96" s="640"/>
    </row>
    <row r="97" spans="1:11" ht="30" customHeight="1" thickBot="1">
      <c r="A97" s="652"/>
      <c r="B97" s="175"/>
      <c r="C97" s="176"/>
      <c r="D97" s="177"/>
      <c r="E97" s="656"/>
      <c r="F97" s="658">
        <v>33</v>
      </c>
      <c r="G97" s="171" t="s">
        <v>243</v>
      </c>
      <c r="H97" s="172">
        <v>4950000</v>
      </c>
      <c r="I97" s="172"/>
      <c r="J97" s="173" t="s">
        <v>140</v>
      </c>
      <c r="K97" s="653" t="s">
        <v>244</v>
      </c>
    </row>
    <row r="98" spans="1:11" ht="30" customHeight="1" thickTop="1" thickBot="1">
      <c r="A98" s="654"/>
      <c r="B98" s="641" t="s">
        <v>72</v>
      </c>
      <c r="C98" s="642">
        <f>SUM(C65:C95)</f>
        <v>25212000</v>
      </c>
      <c r="D98" s="657"/>
      <c r="E98" s="655"/>
      <c r="F98" s="659"/>
      <c r="G98" s="641" t="s">
        <v>72</v>
      </c>
      <c r="H98" s="642">
        <f>SUM(H65:H97)</f>
        <v>522564480</v>
      </c>
      <c r="I98" s="642">
        <f>SUM(I65:I88,H89:H97)</f>
        <v>483441372.87099999</v>
      </c>
      <c r="J98" s="643" t="s">
        <v>73</v>
      </c>
      <c r="K98" s="655"/>
    </row>
    <row r="99" spans="1:11" ht="14.25">
      <c r="A99" s="2"/>
      <c r="B99" s="2"/>
      <c r="C99" s="2"/>
      <c r="D99" s="2"/>
      <c r="E99" s="2"/>
      <c r="F99" s="2"/>
      <c r="G99" s="2"/>
      <c r="H99" s="2"/>
      <c r="I99" s="2"/>
      <c r="J99" s="3"/>
      <c r="K99" s="3"/>
    </row>
  </sheetData>
  <mergeCells count="17">
    <mergeCell ref="A62:G62"/>
    <mergeCell ref="A63:E63"/>
    <mergeCell ref="F63:K63"/>
    <mergeCell ref="A8:B9"/>
    <mergeCell ref="C8:E9"/>
    <mergeCell ref="F8:G9"/>
    <mergeCell ref="H8:K9"/>
    <mergeCell ref="A11:G11"/>
    <mergeCell ref="A12:E12"/>
    <mergeCell ref="F12:K12"/>
    <mergeCell ref="A2:K3"/>
    <mergeCell ref="A5:J5"/>
    <mergeCell ref="A6:G6"/>
    <mergeCell ref="A7:B7"/>
    <mergeCell ref="C7:E7"/>
    <mergeCell ref="F7:G7"/>
    <mergeCell ref="H7:K7"/>
  </mergeCells>
  <phoneticPr fontId="2" type="noConversion"/>
  <pageMargins left="0" right="0" top="0.39370078740157483" bottom="0" header="0.31496062992125984" footer="0.31496062992125984"/>
  <pageSetup paperSize="9" scale="43" orientation="portrait" r:id="rId1"/>
  <rowBreaks count="1" manualBreakCount="1">
    <brk id="62" max="10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7B103-5AFF-4BEE-8FFE-1E78541FE982}">
  <sheetPr>
    <tabColor rgb="FF00B0F0"/>
  </sheetPr>
  <dimension ref="A1:U70"/>
  <sheetViews>
    <sheetView view="pageBreakPreview" topLeftCell="A3" zoomScaleNormal="100" zoomScaleSheetLayoutView="100" workbookViewId="0">
      <selection activeCell="B17" sqref="B17"/>
    </sheetView>
  </sheetViews>
  <sheetFormatPr defaultRowHeight="16.5"/>
  <cols>
    <col min="1" max="1" width="4.5" customWidth="1"/>
    <col min="2" max="2" width="43.5" customWidth="1"/>
    <col min="3" max="5" width="17.125" customWidth="1"/>
    <col min="6" max="6" width="4.5" customWidth="1"/>
    <col min="7" max="7" width="40.875" customWidth="1"/>
    <col min="8" max="9" width="17.25" customWidth="1"/>
    <col min="10" max="10" width="17.25" style="13" customWidth="1"/>
    <col min="11" max="11" width="25" style="13" bestFit="1" customWidth="1"/>
  </cols>
  <sheetData>
    <row r="1" spans="1:12" ht="36.75" customHeight="1"/>
    <row r="2" spans="1:12" ht="21.95" customHeight="1">
      <c r="A2" s="811" t="s">
        <v>14</v>
      </c>
      <c r="B2" s="811"/>
      <c r="C2" s="811"/>
      <c r="D2" s="811"/>
      <c r="E2" s="811"/>
      <c r="F2" s="811"/>
      <c r="G2" s="811"/>
      <c r="H2" s="811"/>
      <c r="I2" s="811"/>
      <c r="J2" s="811"/>
      <c r="K2" s="811"/>
    </row>
    <row r="3" spans="1:12" ht="12" customHeight="1">
      <c r="A3" s="811"/>
      <c r="B3" s="811"/>
      <c r="C3" s="811"/>
      <c r="D3" s="811"/>
      <c r="E3" s="811"/>
      <c r="F3" s="811"/>
      <c r="G3" s="811"/>
      <c r="H3" s="811"/>
      <c r="I3" s="811"/>
      <c r="J3" s="811"/>
      <c r="K3" s="811"/>
    </row>
    <row r="4" spans="1:12" ht="21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2" ht="18" customHeight="1">
      <c r="A5" s="818" t="s">
        <v>245</v>
      </c>
      <c r="B5" s="818"/>
      <c r="C5" s="818"/>
      <c r="D5" s="818"/>
      <c r="E5" s="818"/>
      <c r="F5" s="818"/>
      <c r="G5" s="818"/>
      <c r="H5" s="818"/>
      <c r="I5" s="818"/>
      <c r="J5" s="818"/>
      <c r="K5" s="689"/>
    </row>
    <row r="6" spans="1:12" ht="18" customHeight="1" thickBot="1">
      <c r="A6" s="818" t="s">
        <v>16</v>
      </c>
      <c r="B6" s="819"/>
      <c r="C6" s="819"/>
      <c r="D6" s="819"/>
      <c r="E6" s="819"/>
      <c r="F6" s="819"/>
      <c r="G6" s="819"/>
      <c r="H6" s="690"/>
      <c r="I6" s="690"/>
      <c r="J6" s="3"/>
      <c r="K6" s="3"/>
    </row>
    <row r="7" spans="1:12" ht="27.75" customHeight="1" thickBot="1">
      <c r="A7" s="843" t="s">
        <v>17</v>
      </c>
      <c r="B7" s="844"/>
      <c r="C7" s="837" t="s">
        <v>18</v>
      </c>
      <c r="D7" s="828"/>
      <c r="E7" s="838"/>
      <c r="F7" s="837" t="s">
        <v>19</v>
      </c>
      <c r="G7" s="838"/>
      <c r="H7" s="828" t="s">
        <v>20</v>
      </c>
      <c r="I7" s="828"/>
      <c r="J7" s="828"/>
      <c r="K7" s="829"/>
    </row>
    <row r="8" spans="1:12" ht="18" customHeight="1" thickTop="1" thickBot="1">
      <c r="A8" s="824">
        <f>'4월2일 '!$H$8</f>
        <v>175172384</v>
      </c>
      <c r="B8" s="825"/>
      <c r="C8" s="812">
        <f>C48</f>
        <v>244101677</v>
      </c>
      <c r="D8" s="813"/>
      <c r="E8" s="814"/>
      <c r="F8" s="839">
        <f>SUM(I48)</f>
        <v>410330089.98299998</v>
      </c>
      <c r="G8" s="840"/>
      <c r="H8" s="830">
        <f>SUM(A8:E9)-F8</f>
        <v>8943971.0170000196</v>
      </c>
      <c r="I8" s="830"/>
      <c r="J8" s="830"/>
      <c r="K8" s="831"/>
    </row>
    <row r="9" spans="1:12" ht="22.5" customHeight="1" thickTop="1" thickBot="1">
      <c r="A9" s="826"/>
      <c r="B9" s="827"/>
      <c r="C9" s="815"/>
      <c r="D9" s="816"/>
      <c r="E9" s="817"/>
      <c r="F9" s="841"/>
      <c r="G9" s="842"/>
      <c r="H9" s="832"/>
      <c r="I9" s="832"/>
      <c r="J9" s="832"/>
      <c r="K9" s="833"/>
    </row>
    <row r="10" spans="1:12" ht="18" customHeight="1">
      <c r="A10" s="689"/>
      <c r="B10" s="690"/>
      <c r="C10" s="690"/>
      <c r="D10" s="690"/>
      <c r="E10" s="690"/>
      <c r="F10" s="690"/>
      <c r="G10" s="690"/>
      <c r="H10" s="690"/>
      <c r="I10" s="690"/>
      <c r="J10" s="23"/>
      <c r="K10" s="23"/>
    </row>
    <row r="11" spans="1:12" ht="32.25" customHeight="1" thickBot="1">
      <c r="A11" s="818" t="s">
        <v>21</v>
      </c>
      <c r="B11" s="819"/>
      <c r="C11" s="819"/>
      <c r="D11" s="819"/>
      <c r="E11" s="819"/>
      <c r="F11" s="819"/>
      <c r="G11" s="819"/>
      <c r="H11" s="690"/>
      <c r="I11" s="690"/>
      <c r="J11" s="3"/>
      <c r="K11" s="3"/>
    </row>
    <row r="12" spans="1:12" ht="32.25" customHeight="1">
      <c r="A12" s="834" t="s">
        <v>246</v>
      </c>
      <c r="B12" s="835"/>
      <c r="C12" s="835"/>
      <c r="D12" s="835"/>
      <c r="E12" s="836"/>
      <c r="F12" s="835" t="s">
        <v>247</v>
      </c>
      <c r="G12" s="835"/>
      <c r="H12" s="835"/>
      <c r="I12" s="835"/>
      <c r="J12" s="835"/>
      <c r="K12" s="836"/>
    </row>
    <row r="13" spans="1:12" ht="32.25" customHeight="1" thickBot="1">
      <c r="A13" s="25" t="s">
        <v>24</v>
      </c>
      <c r="B13" s="28" t="s">
        <v>25</v>
      </c>
      <c r="C13" s="26" t="s">
        <v>108</v>
      </c>
      <c r="D13" s="26" t="s">
        <v>27</v>
      </c>
      <c r="E13" s="48" t="s">
        <v>10</v>
      </c>
      <c r="F13" s="88" t="s">
        <v>24</v>
      </c>
      <c r="G13" s="28" t="s">
        <v>25</v>
      </c>
      <c r="H13" s="26" t="s">
        <v>26</v>
      </c>
      <c r="I13" s="26" t="s">
        <v>200</v>
      </c>
      <c r="J13" s="26" t="s">
        <v>27</v>
      </c>
      <c r="K13" s="48" t="s">
        <v>10</v>
      </c>
    </row>
    <row r="14" spans="1:12" ht="32.25" customHeight="1" thickTop="1">
      <c r="A14" s="180">
        <v>1</v>
      </c>
      <c r="B14" s="105" t="s">
        <v>201</v>
      </c>
      <c r="C14" s="7">
        <v>8712000</v>
      </c>
      <c r="D14" s="139" t="s">
        <v>248</v>
      </c>
      <c r="E14" s="63" t="s">
        <v>30</v>
      </c>
      <c r="F14" s="75">
        <v>1</v>
      </c>
      <c r="G14" s="162" t="s">
        <v>206</v>
      </c>
      <c r="H14" s="140">
        <v>21808</v>
      </c>
      <c r="I14" s="140"/>
      <c r="J14" s="71" t="s">
        <v>35</v>
      </c>
      <c r="K14" s="164" t="s">
        <v>249</v>
      </c>
      <c r="L14" s="6"/>
    </row>
    <row r="15" spans="1:12" ht="32.25" customHeight="1">
      <c r="A15" s="180">
        <v>2</v>
      </c>
      <c r="B15" s="105" t="s">
        <v>250</v>
      </c>
      <c r="C15" s="7">
        <v>49000000</v>
      </c>
      <c r="D15" s="139" t="s">
        <v>251</v>
      </c>
      <c r="E15" s="63" t="s">
        <v>35</v>
      </c>
      <c r="F15" s="75">
        <v>2</v>
      </c>
      <c r="G15" s="162" t="s">
        <v>252</v>
      </c>
      <c r="H15" s="140">
        <f>608958</f>
        <v>608958</v>
      </c>
      <c r="I15" s="140"/>
      <c r="J15" s="71">
        <v>44292</v>
      </c>
      <c r="K15" s="164" t="s">
        <v>253</v>
      </c>
      <c r="L15" s="6"/>
    </row>
    <row r="16" spans="1:12" ht="32.25" customHeight="1">
      <c r="A16" s="180">
        <v>3</v>
      </c>
      <c r="B16" s="105" t="s">
        <v>254</v>
      </c>
      <c r="C16" s="7">
        <v>22880000</v>
      </c>
      <c r="D16" s="139" t="s">
        <v>255</v>
      </c>
      <c r="E16" s="63" t="s">
        <v>35</v>
      </c>
      <c r="F16" s="75">
        <v>3</v>
      </c>
      <c r="G16" s="162" t="s">
        <v>256</v>
      </c>
      <c r="H16" s="140">
        <v>738272</v>
      </c>
      <c r="I16" s="140"/>
      <c r="J16" s="71" t="s">
        <v>35</v>
      </c>
      <c r="K16" s="164" t="s">
        <v>257</v>
      </c>
      <c r="L16" s="6"/>
    </row>
    <row r="17" spans="1:12" ht="32.25" customHeight="1">
      <c r="A17" s="4">
        <v>4</v>
      </c>
      <c r="B17" s="22" t="s">
        <v>258</v>
      </c>
      <c r="C17" s="19">
        <v>129459000</v>
      </c>
      <c r="D17" s="139" t="s">
        <v>35</v>
      </c>
      <c r="E17" s="63" t="s">
        <v>35</v>
      </c>
      <c r="F17" s="75">
        <v>4</v>
      </c>
      <c r="G17" s="162" t="s">
        <v>259</v>
      </c>
      <c r="H17" s="140">
        <f>44000</f>
        <v>44000</v>
      </c>
      <c r="I17" s="140"/>
      <c r="J17" s="71">
        <v>44293</v>
      </c>
      <c r="K17" s="164" t="s">
        <v>35</v>
      </c>
      <c r="L17" s="6"/>
    </row>
    <row r="18" spans="1:12" ht="32.25" customHeight="1">
      <c r="A18" s="4">
        <v>5</v>
      </c>
      <c r="B18" s="5" t="s">
        <v>260</v>
      </c>
      <c r="C18" s="19">
        <v>13436773</v>
      </c>
      <c r="D18" s="139" t="s">
        <v>35</v>
      </c>
      <c r="E18" s="63" t="s">
        <v>57</v>
      </c>
      <c r="F18" s="75">
        <v>5</v>
      </c>
      <c r="G18" s="162" t="s">
        <v>261</v>
      </c>
      <c r="H18" s="140">
        <v>46550000</v>
      </c>
      <c r="I18" s="140"/>
      <c r="J18" s="71">
        <v>44294</v>
      </c>
      <c r="K18" s="164" t="s">
        <v>262</v>
      </c>
      <c r="L18" s="6"/>
    </row>
    <row r="19" spans="1:12" ht="32.25" customHeight="1">
      <c r="A19" s="4">
        <v>6</v>
      </c>
      <c r="B19" s="10" t="s">
        <v>263</v>
      </c>
      <c r="C19" s="19">
        <v>6181327</v>
      </c>
      <c r="D19" s="139" t="s">
        <v>35</v>
      </c>
      <c r="E19" s="63" t="s">
        <v>35</v>
      </c>
      <c r="F19" s="75">
        <v>6</v>
      </c>
      <c r="G19" s="162" t="s">
        <v>207</v>
      </c>
      <c r="H19" s="66">
        <f>298742857</f>
        <v>298742857</v>
      </c>
      <c r="I19" s="179">
        <v>261273051</v>
      </c>
      <c r="J19" s="8">
        <v>44295</v>
      </c>
      <c r="K19" s="8" t="s">
        <v>35</v>
      </c>
    </row>
    <row r="20" spans="1:12" ht="32.25" customHeight="1">
      <c r="A20" s="4">
        <v>7</v>
      </c>
      <c r="B20" s="5" t="s">
        <v>264</v>
      </c>
      <c r="C20" s="19">
        <v>12377129</v>
      </c>
      <c r="D20" s="139" t="s">
        <v>35</v>
      </c>
      <c r="E20" s="63" t="s">
        <v>35</v>
      </c>
      <c r="F20" s="75">
        <v>7</v>
      </c>
      <c r="G20" s="162" t="s">
        <v>208</v>
      </c>
      <c r="H20" s="9">
        <f>8333333</f>
        <v>8333333</v>
      </c>
      <c r="I20" s="158">
        <f>H20-(H20*3.3%)</f>
        <v>8058333.0109999999</v>
      </c>
      <c r="J20" s="8" t="s">
        <v>35</v>
      </c>
      <c r="K20" s="8" t="s">
        <v>35</v>
      </c>
    </row>
    <row r="21" spans="1:12" ht="32.25" customHeight="1">
      <c r="A21" s="4">
        <v>8</v>
      </c>
      <c r="B21" s="10" t="s">
        <v>265</v>
      </c>
      <c r="C21" s="19">
        <v>2055448</v>
      </c>
      <c r="D21" s="139" t="s">
        <v>35</v>
      </c>
      <c r="E21" s="63" t="s">
        <v>35</v>
      </c>
      <c r="F21" s="75">
        <v>8</v>
      </c>
      <c r="G21" s="162" t="s">
        <v>209</v>
      </c>
      <c r="H21" s="7">
        <v>5500000</v>
      </c>
      <c r="I21" s="158">
        <f t="shared" ref="I21:I32" si="0">H21-(H21*3.3%)</f>
        <v>5318500</v>
      </c>
      <c r="J21" s="8" t="s">
        <v>35</v>
      </c>
      <c r="K21" s="8" t="s">
        <v>35</v>
      </c>
    </row>
    <row r="22" spans="1:12" ht="32.25" customHeight="1">
      <c r="A22" s="4"/>
      <c r="B22" s="10"/>
      <c r="C22" s="19"/>
      <c r="D22" s="139"/>
      <c r="E22" s="63"/>
      <c r="F22" s="75">
        <v>9</v>
      </c>
      <c r="G22" s="162" t="s">
        <v>210</v>
      </c>
      <c r="H22" s="66">
        <f>6000000</f>
        <v>6000000</v>
      </c>
      <c r="I22" s="158">
        <f t="shared" si="0"/>
        <v>5802000</v>
      </c>
      <c r="J22" s="8" t="s">
        <v>35</v>
      </c>
      <c r="K22" s="8" t="s">
        <v>211</v>
      </c>
    </row>
    <row r="23" spans="1:12" ht="32.25" customHeight="1">
      <c r="A23" s="4"/>
      <c r="B23" s="10"/>
      <c r="C23" s="19"/>
      <c r="D23" s="139"/>
      <c r="E23" s="63"/>
      <c r="F23" s="75">
        <v>10</v>
      </c>
      <c r="G23" s="162" t="s">
        <v>212</v>
      </c>
      <c r="H23" s="9">
        <v>6500000</v>
      </c>
      <c r="I23" s="158">
        <f t="shared" si="0"/>
        <v>6285500</v>
      </c>
      <c r="J23" s="8" t="s">
        <v>35</v>
      </c>
      <c r="K23" s="8" t="s">
        <v>35</v>
      </c>
    </row>
    <row r="24" spans="1:12" ht="32.25" customHeight="1">
      <c r="A24" s="4"/>
      <c r="B24" s="10"/>
      <c r="C24" s="19"/>
      <c r="D24" s="139"/>
      <c r="E24" s="63"/>
      <c r="F24" s="75">
        <v>11</v>
      </c>
      <c r="G24" s="162" t="s">
        <v>213</v>
      </c>
      <c r="H24" s="7">
        <f>4000000</f>
        <v>4000000</v>
      </c>
      <c r="I24" s="158">
        <f t="shared" si="0"/>
        <v>3868000</v>
      </c>
      <c r="J24" s="106" t="s">
        <v>35</v>
      </c>
      <c r="K24" s="8" t="s">
        <v>35</v>
      </c>
    </row>
    <row r="25" spans="1:12" ht="32.25" customHeight="1">
      <c r="A25" s="4"/>
      <c r="B25" s="10"/>
      <c r="C25" s="19"/>
      <c r="D25" s="139"/>
      <c r="E25" s="63"/>
      <c r="F25" s="75">
        <v>12</v>
      </c>
      <c r="G25" s="162" t="s">
        <v>214</v>
      </c>
      <c r="H25" s="7">
        <v>4000000</v>
      </c>
      <c r="I25" s="158">
        <f t="shared" si="0"/>
        <v>3868000</v>
      </c>
      <c r="J25" s="106" t="s">
        <v>35</v>
      </c>
      <c r="K25" s="8" t="s">
        <v>35</v>
      </c>
    </row>
    <row r="26" spans="1:12" ht="32.25" customHeight="1">
      <c r="A26" s="4"/>
      <c r="B26" s="10"/>
      <c r="C26" s="19"/>
      <c r="D26" s="139"/>
      <c r="E26" s="63"/>
      <c r="F26" s="75">
        <v>13</v>
      </c>
      <c r="G26" s="162" t="s">
        <v>215</v>
      </c>
      <c r="H26" s="7">
        <v>3800000</v>
      </c>
      <c r="I26" s="158">
        <f t="shared" si="0"/>
        <v>3674600</v>
      </c>
      <c r="J26" s="106" t="s">
        <v>35</v>
      </c>
      <c r="K26" s="8" t="s">
        <v>35</v>
      </c>
    </row>
    <row r="27" spans="1:12" ht="32.25" customHeight="1">
      <c r="A27" s="4"/>
      <c r="B27" s="10"/>
      <c r="C27" s="19"/>
      <c r="D27" s="139"/>
      <c r="E27" s="63"/>
      <c r="F27" s="75">
        <v>14</v>
      </c>
      <c r="G27" s="162" t="s">
        <v>216</v>
      </c>
      <c r="H27" s="7">
        <v>5500000</v>
      </c>
      <c r="I27" s="158">
        <f t="shared" si="0"/>
        <v>5318500</v>
      </c>
      <c r="J27" s="106" t="s">
        <v>35</v>
      </c>
      <c r="K27" s="8" t="s">
        <v>35</v>
      </c>
    </row>
    <row r="28" spans="1:12" ht="32.25" customHeight="1">
      <c r="A28" s="4"/>
      <c r="B28" s="10"/>
      <c r="C28" s="19"/>
      <c r="D28" s="139"/>
      <c r="E28" s="63"/>
      <c r="F28" s="75">
        <v>15</v>
      </c>
      <c r="G28" s="162" t="s">
        <v>217</v>
      </c>
      <c r="H28" s="7">
        <v>4500000</v>
      </c>
      <c r="I28" s="158">
        <f t="shared" si="0"/>
        <v>4351500</v>
      </c>
      <c r="J28" s="106" t="s">
        <v>35</v>
      </c>
      <c r="K28" s="8" t="s">
        <v>35</v>
      </c>
    </row>
    <row r="29" spans="1:12" ht="32.25" customHeight="1">
      <c r="A29" s="4"/>
      <c r="B29" s="10"/>
      <c r="C29" s="19"/>
      <c r="D29" s="139"/>
      <c r="E29" s="63"/>
      <c r="F29" s="75">
        <v>16</v>
      </c>
      <c r="G29" s="162" t="s">
        <v>218</v>
      </c>
      <c r="H29" s="7">
        <v>6000000</v>
      </c>
      <c r="I29" s="158">
        <f t="shared" si="0"/>
        <v>5802000</v>
      </c>
      <c r="J29" s="106" t="s">
        <v>35</v>
      </c>
      <c r="K29" s="8" t="s">
        <v>35</v>
      </c>
    </row>
    <row r="30" spans="1:12" ht="32.25" customHeight="1">
      <c r="A30" s="4"/>
      <c r="B30" s="10"/>
      <c r="C30" s="19"/>
      <c r="D30" s="139"/>
      <c r="E30" s="63"/>
      <c r="F30" s="75">
        <v>17</v>
      </c>
      <c r="G30" s="162" t="s">
        <v>219</v>
      </c>
      <c r="H30" s="7">
        <v>4300000</v>
      </c>
      <c r="I30" s="158">
        <f t="shared" si="0"/>
        <v>4158100</v>
      </c>
      <c r="J30" s="106" t="s">
        <v>35</v>
      </c>
      <c r="K30" s="8" t="s">
        <v>35</v>
      </c>
    </row>
    <row r="31" spans="1:12" ht="32.25" customHeight="1">
      <c r="A31" s="4"/>
      <c r="B31" s="10"/>
      <c r="C31" s="19"/>
      <c r="D31" s="139"/>
      <c r="E31" s="63"/>
      <c r="F31" s="75">
        <v>18</v>
      </c>
      <c r="G31" s="162" t="s">
        <v>220</v>
      </c>
      <c r="H31" s="165">
        <f>5500000</f>
        <v>5500000</v>
      </c>
      <c r="I31" s="158">
        <f t="shared" si="0"/>
        <v>5318500</v>
      </c>
      <c r="J31" s="106" t="s">
        <v>35</v>
      </c>
      <c r="K31" s="71" t="s">
        <v>221</v>
      </c>
    </row>
    <row r="32" spans="1:12" ht="32.25" customHeight="1">
      <c r="A32" s="4"/>
      <c r="B32" s="10"/>
      <c r="C32" s="19"/>
      <c r="D32" s="139"/>
      <c r="E32" s="63"/>
      <c r="F32" s="75">
        <v>19</v>
      </c>
      <c r="G32" s="162" t="s">
        <v>222</v>
      </c>
      <c r="H32" s="7">
        <f>6000000</f>
        <v>6000000</v>
      </c>
      <c r="I32" s="158">
        <f t="shared" si="0"/>
        <v>5802000</v>
      </c>
      <c r="J32" s="106" t="s">
        <v>35</v>
      </c>
      <c r="K32" s="8" t="s">
        <v>35</v>
      </c>
    </row>
    <row r="33" spans="1:21" ht="32.25" customHeight="1">
      <c r="A33" s="4"/>
      <c r="B33" s="10"/>
      <c r="C33" s="19"/>
      <c r="D33" s="7"/>
      <c r="E33" s="63"/>
      <c r="F33" s="75">
        <v>20</v>
      </c>
      <c r="G33" s="162" t="s">
        <v>223</v>
      </c>
      <c r="H33" s="7">
        <v>6500000</v>
      </c>
      <c r="I33" s="158">
        <f>H33-(H33*3.3%)</f>
        <v>6285500</v>
      </c>
      <c r="J33" s="106" t="s">
        <v>35</v>
      </c>
      <c r="K33" s="8" t="s">
        <v>35</v>
      </c>
    </row>
    <row r="34" spans="1:21" ht="32.25" customHeight="1">
      <c r="A34" s="4"/>
      <c r="B34" s="10"/>
      <c r="C34" s="19"/>
      <c r="D34" s="7"/>
      <c r="E34" s="63"/>
      <c r="F34" s="75">
        <v>21</v>
      </c>
      <c r="G34" s="162" t="s">
        <v>226</v>
      </c>
      <c r="H34" s="165">
        <v>2193548</v>
      </c>
      <c r="I34" s="158">
        <f>H34-(H34*3.3%)</f>
        <v>2121160.9160000002</v>
      </c>
      <c r="J34" s="106" t="s">
        <v>35</v>
      </c>
      <c r="K34" s="163" t="s">
        <v>227</v>
      </c>
      <c r="L34" s="100"/>
      <c r="M34" s="100"/>
      <c r="N34" s="100"/>
      <c r="O34" s="100"/>
      <c r="P34" s="100"/>
      <c r="Q34" s="100"/>
      <c r="R34" s="100"/>
      <c r="S34" s="100"/>
      <c r="T34" s="100"/>
      <c r="U34" s="100"/>
    </row>
    <row r="35" spans="1:21" ht="32.25" customHeight="1">
      <c r="A35" s="4"/>
      <c r="B35" s="10"/>
      <c r="C35" s="19"/>
      <c r="D35" s="7"/>
      <c r="E35" s="63"/>
      <c r="F35" s="75">
        <v>22</v>
      </c>
      <c r="G35" s="162" t="s">
        <v>228</v>
      </c>
      <c r="H35" s="165">
        <v>1870968</v>
      </c>
      <c r="I35" s="158">
        <f>H35-(H35*3.3%)</f>
        <v>1809226.0560000001</v>
      </c>
      <c r="J35" s="106" t="s">
        <v>35</v>
      </c>
      <c r="K35" s="163" t="s">
        <v>229</v>
      </c>
      <c r="L35" s="100"/>
      <c r="M35" s="100"/>
      <c r="N35" s="100"/>
      <c r="O35" s="100"/>
      <c r="P35" s="100"/>
      <c r="Q35" s="100"/>
      <c r="R35" s="100"/>
      <c r="S35" s="100"/>
      <c r="T35" s="100"/>
      <c r="U35" s="100"/>
    </row>
    <row r="36" spans="1:21" ht="32.25" customHeight="1">
      <c r="A36" s="4"/>
      <c r="B36" s="10"/>
      <c r="C36" s="19"/>
      <c r="D36" s="7"/>
      <c r="E36" s="63"/>
      <c r="F36" s="75">
        <v>23</v>
      </c>
      <c r="G36" s="181" t="s">
        <v>230</v>
      </c>
      <c r="H36" s="7">
        <v>8250000</v>
      </c>
      <c r="I36" s="159">
        <v>8250000</v>
      </c>
      <c r="J36" s="106" t="s">
        <v>35</v>
      </c>
      <c r="K36" s="8" t="s">
        <v>35</v>
      </c>
      <c r="L36" s="100"/>
      <c r="M36" s="100"/>
      <c r="N36" s="100"/>
      <c r="O36" s="100"/>
      <c r="P36" s="100"/>
      <c r="Q36" s="100"/>
      <c r="R36" s="100"/>
      <c r="S36" s="100"/>
      <c r="T36" s="100"/>
      <c r="U36" s="100"/>
    </row>
    <row r="37" spans="1:21" ht="32.25" customHeight="1">
      <c r="A37" s="4"/>
      <c r="B37" s="10"/>
      <c r="C37" s="19"/>
      <c r="D37" s="7"/>
      <c r="E37" s="63"/>
      <c r="F37" s="75">
        <v>24</v>
      </c>
      <c r="G37" s="182" t="s">
        <v>231</v>
      </c>
      <c r="H37" s="82">
        <v>5610000</v>
      </c>
      <c r="I37" s="160">
        <v>5610000</v>
      </c>
      <c r="J37" s="106" t="s">
        <v>35</v>
      </c>
      <c r="K37" s="8" t="s">
        <v>35</v>
      </c>
      <c r="L37" s="100"/>
      <c r="M37" s="100"/>
      <c r="N37" s="100"/>
      <c r="O37" s="100"/>
      <c r="P37" s="100"/>
      <c r="Q37" s="100"/>
      <c r="R37" s="100"/>
      <c r="S37" s="100"/>
      <c r="T37" s="100"/>
      <c r="U37" s="100"/>
    </row>
    <row r="38" spans="1:21" ht="32.25" customHeight="1">
      <c r="A38" s="4"/>
      <c r="B38" s="10"/>
      <c r="C38" s="19"/>
      <c r="D38" s="7"/>
      <c r="E38" s="63"/>
      <c r="F38" s="75">
        <v>25</v>
      </c>
      <c r="G38" s="182" t="s">
        <v>232</v>
      </c>
      <c r="H38" s="82">
        <f>4700000*1.1</f>
        <v>5170000</v>
      </c>
      <c r="I38" s="160">
        <f>4700000*1.1</f>
        <v>5170000</v>
      </c>
      <c r="J38" s="106" t="s">
        <v>35</v>
      </c>
      <c r="K38" s="8" t="s">
        <v>35</v>
      </c>
      <c r="L38" s="100"/>
      <c r="M38" s="100"/>
      <c r="N38" s="100"/>
      <c r="O38" s="100"/>
      <c r="P38" s="100"/>
      <c r="Q38" s="100"/>
      <c r="R38" s="100"/>
      <c r="S38" s="100"/>
      <c r="T38" s="100"/>
      <c r="U38" s="100"/>
    </row>
    <row r="39" spans="1:21" ht="32.25" customHeight="1">
      <c r="A39" s="4"/>
      <c r="B39" s="10"/>
      <c r="C39" s="19"/>
      <c r="D39" s="7"/>
      <c r="E39" s="63"/>
      <c r="F39" s="107">
        <v>27</v>
      </c>
      <c r="G39" s="182" t="s">
        <v>233</v>
      </c>
      <c r="H39" s="188">
        <v>3838710</v>
      </c>
      <c r="I39" s="160">
        <f>H39*1.1</f>
        <v>4222581</v>
      </c>
      <c r="J39" s="189" t="s">
        <v>35</v>
      </c>
      <c r="K39" s="190" t="s">
        <v>234</v>
      </c>
      <c r="L39" s="100"/>
      <c r="M39" s="100"/>
      <c r="N39" s="100"/>
      <c r="O39" s="100"/>
      <c r="P39" s="100"/>
      <c r="Q39" s="100"/>
      <c r="R39" s="100"/>
      <c r="S39" s="100"/>
      <c r="T39" s="100"/>
      <c r="U39" s="100"/>
    </row>
    <row r="40" spans="1:21" ht="32.25" customHeight="1">
      <c r="A40" s="107"/>
      <c r="B40" s="108"/>
      <c r="C40" s="109"/>
      <c r="D40" s="110"/>
      <c r="E40" s="111"/>
      <c r="F40" s="197">
        <v>28</v>
      </c>
      <c r="G40" s="198" t="s">
        <v>266</v>
      </c>
      <c r="H40" s="146">
        <f>21850</f>
        <v>21850</v>
      </c>
      <c r="I40" s="200"/>
      <c r="J40" s="147">
        <v>44291</v>
      </c>
      <c r="K40" s="199" t="s">
        <v>64</v>
      </c>
      <c r="L40" s="100"/>
      <c r="M40" s="100"/>
      <c r="N40" s="100"/>
      <c r="O40" s="100"/>
      <c r="P40" s="100"/>
      <c r="Q40" s="100"/>
      <c r="R40" s="100"/>
      <c r="S40" s="100"/>
      <c r="T40" s="100"/>
      <c r="U40" s="100"/>
    </row>
    <row r="41" spans="1:21" ht="32.25" customHeight="1">
      <c r="A41" s="107"/>
      <c r="B41" s="108"/>
      <c r="C41" s="109"/>
      <c r="D41" s="110"/>
      <c r="E41" s="111"/>
      <c r="F41" s="191">
        <v>29</v>
      </c>
      <c r="G41" s="181" t="s">
        <v>267</v>
      </c>
      <c r="H41" s="67">
        <f>12500</f>
        <v>12500</v>
      </c>
      <c r="I41" s="7"/>
      <c r="J41" s="8">
        <v>44292</v>
      </c>
      <c r="K41" s="192"/>
      <c r="L41" s="100"/>
      <c r="M41" s="100"/>
      <c r="N41" s="100"/>
      <c r="O41" s="100"/>
      <c r="P41" s="100"/>
      <c r="Q41" s="100"/>
      <c r="R41" s="100"/>
      <c r="S41" s="100"/>
      <c r="T41" s="100"/>
      <c r="U41" s="100"/>
    </row>
    <row r="42" spans="1:21" ht="32.25" customHeight="1">
      <c r="A42" s="107"/>
      <c r="B42" s="108"/>
      <c r="C42" s="109"/>
      <c r="D42" s="110"/>
      <c r="E42" s="111"/>
      <c r="F42" s="191">
        <v>30</v>
      </c>
      <c r="G42" s="181" t="s">
        <v>268</v>
      </c>
      <c r="H42" s="67">
        <f>17000</f>
        <v>17000</v>
      </c>
      <c r="I42" s="7"/>
      <c r="J42" s="106" t="s">
        <v>35</v>
      </c>
      <c r="K42" s="192"/>
      <c r="L42" s="100"/>
      <c r="M42" s="100"/>
      <c r="N42" s="100"/>
      <c r="O42" s="100"/>
      <c r="P42" s="100"/>
      <c r="Q42" s="100"/>
      <c r="R42" s="100"/>
      <c r="S42" s="100"/>
      <c r="T42" s="100"/>
      <c r="U42" s="100"/>
    </row>
    <row r="43" spans="1:21" ht="32.25" customHeight="1">
      <c r="A43" s="107"/>
      <c r="B43" s="108"/>
      <c r="C43" s="109"/>
      <c r="D43" s="110"/>
      <c r="E43" s="111"/>
      <c r="F43" s="191">
        <v>31</v>
      </c>
      <c r="G43" s="181" t="s">
        <v>269</v>
      </c>
      <c r="H43" s="67">
        <f>5720</f>
        <v>5720</v>
      </c>
      <c r="I43" s="7"/>
      <c r="J43" s="106">
        <v>44293</v>
      </c>
      <c r="K43" s="192"/>
      <c r="L43" s="100"/>
      <c r="M43" s="100"/>
      <c r="N43" s="100"/>
      <c r="O43" s="100"/>
      <c r="P43" s="100"/>
      <c r="Q43" s="100"/>
      <c r="R43" s="100"/>
      <c r="S43" s="100"/>
      <c r="T43" s="100"/>
      <c r="U43" s="100"/>
    </row>
    <row r="44" spans="1:21" ht="32.25" customHeight="1">
      <c r="A44" s="107"/>
      <c r="B44" s="108"/>
      <c r="C44" s="109"/>
      <c r="D44" s="110"/>
      <c r="E44" s="111"/>
      <c r="F44" s="191">
        <v>32</v>
      </c>
      <c r="G44" s="181" t="s">
        <v>269</v>
      </c>
      <c r="H44" s="145">
        <f>50600</f>
        <v>50600</v>
      </c>
      <c r="I44" s="82"/>
      <c r="J44" s="189">
        <v>44294</v>
      </c>
      <c r="K44" s="201"/>
      <c r="L44" s="100"/>
      <c r="M44" s="100"/>
      <c r="N44" s="100"/>
      <c r="O44" s="100"/>
      <c r="P44" s="100"/>
      <c r="Q44" s="100"/>
      <c r="R44" s="100"/>
      <c r="S44" s="100"/>
      <c r="T44" s="100"/>
      <c r="U44" s="100"/>
    </row>
    <row r="45" spans="1:21" ht="32.25" customHeight="1">
      <c r="A45" s="107"/>
      <c r="B45" s="108"/>
      <c r="C45" s="109"/>
      <c r="D45" s="110"/>
      <c r="E45" s="111"/>
      <c r="F45" s="191">
        <v>33</v>
      </c>
      <c r="G45" s="202" t="s">
        <v>270</v>
      </c>
      <c r="H45" s="145">
        <f>55000</f>
        <v>55000</v>
      </c>
      <c r="I45" s="82"/>
      <c r="J45" s="189" t="s">
        <v>35</v>
      </c>
      <c r="K45" s="201"/>
      <c r="L45" s="100"/>
      <c r="M45" s="100"/>
      <c r="N45" s="100"/>
      <c r="O45" s="100"/>
      <c r="P45" s="100"/>
      <c r="Q45" s="100"/>
      <c r="R45" s="100"/>
      <c r="S45" s="100"/>
      <c r="T45" s="100"/>
      <c r="U45" s="100"/>
    </row>
    <row r="46" spans="1:21" ht="32.25" customHeight="1">
      <c r="A46" s="107"/>
      <c r="B46" s="108"/>
      <c r="C46" s="109"/>
      <c r="D46" s="110"/>
      <c r="E46" s="111"/>
      <c r="F46" s="191">
        <v>34</v>
      </c>
      <c r="G46" s="182" t="s">
        <v>271</v>
      </c>
      <c r="H46" s="145">
        <f>4000</f>
        <v>4000</v>
      </c>
      <c r="I46" s="82"/>
      <c r="J46" s="189">
        <v>44295</v>
      </c>
      <c r="K46" s="201"/>
      <c r="L46" s="100"/>
      <c r="M46" s="100"/>
      <c r="N46" s="100"/>
      <c r="O46" s="100"/>
      <c r="P46" s="100"/>
      <c r="Q46" s="100"/>
      <c r="R46" s="100"/>
      <c r="S46" s="100"/>
      <c r="T46" s="100"/>
      <c r="U46" s="100"/>
    </row>
    <row r="47" spans="1:21" ht="32.25" customHeight="1" thickBot="1">
      <c r="A47" s="107"/>
      <c r="B47" s="108"/>
      <c r="C47" s="109"/>
      <c r="D47" s="110"/>
      <c r="E47" s="111"/>
      <c r="F47" s="191">
        <v>35</v>
      </c>
      <c r="G47" s="193" t="s">
        <v>272</v>
      </c>
      <c r="H47" s="194">
        <f>30000</f>
        <v>30000</v>
      </c>
      <c r="I47" s="177"/>
      <c r="J47" s="195" t="s">
        <v>35</v>
      </c>
      <c r="K47" s="196"/>
      <c r="L47" s="100"/>
      <c r="M47" s="100"/>
      <c r="N47" s="100"/>
      <c r="O47" s="100"/>
      <c r="P47" s="100"/>
      <c r="Q47" s="100"/>
      <c r="R47" s="100"/>
      <c r="S47" s="100"/>
      <c r="T47" s="100"/>
      <c r="U47" s="100"/>
    </row>
    <row r="48" spans="1:21" ht="32.25" customHeight="1" thickTop="1" thickBot="1">
      <c r="A48" s="30"/>
      <c r="B48" s="31" t="s">
        <v>72</v>
      </c>
      <c r="C48" s="24">
        <f>SUM(C14:C47)</f>
        <v>244101677</v>
      </c>
      <c r="D48" s="43"/>
      <c r="E48" s="62"/>
      <c r="F48" s="93"/>
      <c r="G48" s="31" t="s">
        <v>72</v>
      </c>
      <c r="H48" s="34">
        <f>SUM(H14:H39)</f>
        <v>450072454</v>
      </c>
      <c r="I48" s="34">
        <f>SUM(H14:H18,I19:I39)</f>
        <v>410330089.98299998</v>
      </c>
      <c r="J48" s="47" t="s">
        <v>73</v>
      </c>
      <c r="K48" s="46"/>
    </row>
    <row r="49" spans="1:11" ht="25.5" customHeight="1" thickBot="1">
      <c r="A49" s="820" t="s">
        <v>74</v>
      </c>
      <c r="B49" s="821"/>
      <c r="C49" s="821"/>
      <c r="D49" s="821"/>
      <c r="E49" s="821"/>
      <c r="F49" s="821"/>
      <c r="G49" s="821"/>
      <c r="H49" s="691"/>
      <c r="I49" s="691"/>
      <c r="J49" s="11"/>
      <c r="K49" s="11"/>
    </row>
    <row r="50" spans="1:11" ht="30" customHeight="1">
      <c r="A50" s="834" t="s">
        <v>273</v>
      </c>
      <c r="B50" s="835"/>
      <c r="C50" s="835"/>
      <c r="D50" s="835"/>
      <c r="E50" s="836"/>
      <c r="F50" s="834" t="s">
        <v>274</v>
      </c>
      <c r="G50" s="835"/>
      <c r="H50" s="835"/>
      <c r="I50" s="835"/>
      <c r="J50" s="835"/>
      <c r="K50" s="836"/>
    </row>
    <row r="51" spans="1:11" ht="30" customHeight="1" thickBot="1">
      <c r="A51" s="25" t="s">
        <v>24</v>
      </c>
      <c r="B51" s="28" t="s">
        <v>25</v>
      </c>
      <c r="C51" s="26" t="s">
        <v>108</v>
      </c>
      <c r="D51" s="26" t="s">
        <v>27</v>
      </c>
      <c r="E51" s="48" t="s">
        <v>10</v>
      </c>
      <c r="F51" s="25" t="s">
        <v>24</v>
      </c>
      <c r="G51" s="28" t="s">
        <v>25</v>
      </c>
      <c r="H51" s="26" t="s">
        <v>26</v>
      </c>
      <c r="I51" s="26" t="s">
        <v>200</v>
      </c>
      <c r="J51" s="26" t="s">
        <v>27</v>
      </c>
      <c r="K51" s="48" t="s">
        <v>10</v>
      </c>
    </row>
    <row r="52" spans="1:11" ht="30" customHeight="1" thickTop="1">
      <c r="A52" s="4">
        <v>1</v>
      </c>
      <c r="B52" s="10" t="s">
        <v>204</v>
      </c>
      <c r="C52" s="19">
        <v>16500000</v>
      </c>
      <c r="D52" s="139" t="s">
        <v>205</v>
      </c>
      <c r="E52" s="63"/>
      <c r="F52" s="4">
        <v>1</v>
      </c>
      <c r="G52" s="155" t="s">
        <v>235</v>
      </c>
      <c r="H52" s="67">
        <v>16830840</v>
      </c>
      <c r="I52" s="67"/>
      <c r="J52" s="8">
        <v>44298</v>
      </c>
      <c r="K52" s="8" t="s">
        <v>35</v>
      </c>
    </row>
    <row r="53" spans="1:11" ht="30" customHeight="1">
      <c r="A53" s="4">
        <v>2</v>
      </c>
      <c r="B53" s="10" t="s">
        <v>275</v>
      </c>
      <c r="C53" s="19">
        <v>4400000</v>
      </c>
      <c r="D53" s="7" t="s">
        <v>276</v>
      </c>
      <c r="E53" s="63"/>
      <c r="F53" s="4">
        <v>2</v>
      </c>
      <c r="G53" s="155" t="s">
        <v>236</v>
      </c>
      <c r="H53" s="67">
        <v>20702200</v>
      </c>
      <c r="I53" s="67"/>
      <c r="J53" s="8" t="s">
        <v>35</v>
      </c>
      <c r="K53" s="8" t="s">
        <v>35</v>
      </c>
    </row>
    <row r="54" spans="1:11" ht="30" customHeight="1">
      <c r="A54" s="4">
        <v>3</v>
      </c>
      <c r="B54" s="10" t="s">
        <v>277</v>
      </c>
      <c r="C54" s="19">
        <v>7249220</v>
      </c>
      <c r="D54" s="7" t="s">
        <v>35</v>
      </c>
      <c r="E54" s="63" t="s">
        <v>278</v>
      </c>
      <c r="F54" s="4">
        <v>3</v>
      </c>
      <c r="G54" s="155" t="s">
        <v>237</v>
      </c>
      <c r="H54" s="67">
        <v>21419160</v>
      </c>
      <c r="I54" s="67"/>
      <c r="J54" s="8" t="s">
        <v>35</v>
      </c>
      <c r="K54" s="8" t="s">
        <v>35</v>
      </c>
    </row>
    <row r="55" spans="1:11" ht="30" customHeight="1">
      <c r="A55" s="4">
        <v>4</v>
      </c>
      <c r="B55" s="10" t="s">
        <v>279</v>
      </c>
      <c r="C55" s="19">
        <v>9400000</v>
      </c>
      <c r="D55" s="7" t="s">
        <v>35</v>
      </c>
      <c r="E55" s="63"/>
      <c r="F55" s="4">
        <v>4</v>
      </c>
      <c r="G55" s="155" t="s">
        <v>238</v>
      </c>
      <c r="H55" s="67">
        <v>5546680</v>
      </c>
      <c r="I55" s="67"/>
      <c r="J55" s="8" t="s">
        <v>35</v>
      </c>
      <c r="K55" s="8" t="s">
        <v>35</v>
      </c>
    </row>
    <row r="56" spans="1:11" ht="30" customHeight="1">
      <c r="A56" s="4">
        <v>5</v>
      </c>
      <c r="B56" s="10" t="s">
        <v>280</v>
      </c>
      <c r="C56" s="19">
        <v>38250000</v>
      </c>
      <c r="D56" s="7" t="s">
        <v>35</v>
      </c>
      <c r="E56" s="63"/>
      <c r="F56" s="4">
        <v>5</v>
      </c>
      <c r="G56" s="155" t="s">
        <v>239</v>
      </c>
      <c r="H56" s="67">
        <v>1927490</v>
      </c>
      <c r="I56" s="67"/>
      <c r="J56" s="8" t="s">
        <v>35</v>
      </c>
      <c r="K56" s="8" t="s">
        <v>35</v>
      </c>
    </row>
    <row r="57" spans="1:11" ht="30" customHeight="1">
      <c r="A57" s="4"/>
      <c r="B57" s="10"/>
      <c r="C57" s="19"/>
      <c r="D57" s="7"/>
      <c r="E57" s="63"/>
      <c r="F57" s="4">
        <v>6</v>
      </c>
      <c r="G57" s="167" t="s">
        <v>242</v>
      </c>
      <c r="H57" s="204">
        <v>16987707</v>
      </c>
      <c r="I57" s="168"/>
      <c r="J57" s="8" t="s">
        <v>35</v>
      </c>
      <c r="K57" s="8" t="s">
        <v>35</v>
      </c>
    </row>
    <row r="58" spans="1:11" ht="30" customHeight="1">
      <c r="A58" s="4"/>
      <c r="B58" s="10"/>
      <c r="C58" s="19"/>
      <c r="D58" s="7"/>
      <c r="E58" s="63"/>
      <c r="F58" s="4">
        <v>7</v>
      </c>
      <c r="G58" s="155" t="s">
        <v>281</v>
      </c>
      <c r="H58" s="19">
        <v>451000</v>
      </c>
      <c r="I58" s="10"/>
      <c r="J58" s="19" t="s">
        <v>282</v>
      </c>
      <c r="K58" s="10"/>
    </row>
    <row r="59" spans="1:11" ht="30" customHeight="1">
      <c r="A59" s="4"/>
      <c r="B59" s="22"/>
      <c r="C59" s="19"/>
      <c r="D59" s="7"/>
      <c r="E59" s="63"/>
      <c r="F59" s="4">
        <v>8</v>
      </c>
      <c r="G59" s="205" t="s">
        <v>283</v>
      </c>
      <c r="H59" s="19">
        <v>231000</v>
      </c>
      <c r="I59" s="22"/>
      <c r="J59" s="19" t="s">
        <v>35</v>
      </c>
      <c r="K59" s="22"/>
    </row>
    <row r="60" spans="1:11" ht="30" customHeight="1">
      <c r="A60" s="4"/>
      <c r="B60" s="10"/>
      <c r="C60" s="19"/>
      <c r="D60" s="7"/>
      <c r="E60" s="63"/>
      <c r="F60" s="4">
        <v>9</v>
      </c>
      <c r="G60" s="203" t="s">
        <v>60</v>
      </c>
      <c r="H60" s="152">
        <v>11000</v>
      </c>
      <c r="I60" s="147">
        <v>44271</v>
      </c>
      <c r="J60" s="147">
        <v>44302</v>
      </c>
      <c r="K60" s="187" t="s">
        <v>61</v>
      </c>
    </row>
    <row r="61" spans="1:11" ht="30" customHeight="1">
      <c r="A61" s="4"/>
      <c r="B61" s="22"/>
      <c r="C61" s="19"/>
      <c r="D61" s="7"/>
      <c r="E61" s="63"/>
      <c r="F61" s="4">
        <v>10</v>
      </c>
      <c r="G61" s="206" t="s">
        <v>284</v>
      </c>
      <c r="H61" s="96">
        <v>330000</v>
      </c>
      <c r="I61" s="20"/>
      <c r="J61" s="96" t="s">
        <v>282</v>
      </c>
      <c r="K61" s="20" t="s">
        <v>285</v>
      </c>
    </row>
    <row r="62" spans="1:11" ht="30" customHeight="1">
      <c r="A62" s="4"/>
      <c r="B62" s="10"/>
      <c r="C62" s="19"/>
      <c r="D62" s="7"/>
      <c r="E62" s="63"/>
      <c r="F62" s="4"/>
      <c r="G62" s="10"/>
      <c r="H62" s="19"/>
      <c r="I62" s="10"/>
      <c r="J62" s="19"/>
      <c r="K62" s="10"/>
    </row>
    <row r="63" spans="1:11" ht="30" customHeight="1">
      <c r="A63" s="4"/>
      <c r="B63" s="22"/>
      <c r="C63" s="19"/>
      <c r="D63" s="7"/>
      <c r="E63" s="63"/>
      <c r="F63" s="4"/>
      <c r="G63" s="22"/>
      <c r="H63" s="19"/>
      <c r="I63" s="22"/>
      <c r="J63" s="19"/>
      <c r="K63" s="22"/>
    </row>
    <row r="64" spans="1:11" ht="30" customHeight="1">
      <c r="A64" s="4"/>
      <c r="B64" s="10"/>
      <c r="C64" s="19"/>
      <c r="D64" s="7"/>
      <c r="E64" s="63"/>
      <c r="F64" s="4"/>
      <c r="G64" s="10"/>
      <c r="H64" s="19"/>
      <c r="I64" s="10"/>
      <c r="J64" s="19"/>
      <c r="K64" s="10"/>
    </row>
    <row r="65" spans="1:11" ht="30" customHeight="1">
      <c r="A65" s="4"/>
      <c r="B65" s="22"/>
      <c r="C65" s="19"/>
      <c r="D65" s="7"/>
      <c r="E65" s="63"/>
      <c r="F65" s="4"/>
      <c r="G65" s="22"/>
      <c r="H65" s="19"/>
      <c r="I65" s="22"/>
      <c r="J65" s="19"/>
      <c r="K65" s="22"/>
    </row>
    <row r="66" spans="1:11" ht="30" customHeight="1">
      <c r="A66" s="4"/>
      <c r="B66" s="10"/>
      <c r="C66" s="19"/>
      <c r="D66" s="7"/>
      <c r="E66" s="63"/>
      <c r="F66" s="4"/>
      <c r="G66" s="10"/>
      <c r="H66" s="19"/>
      <c r="I66" s="10"/>
      <c r="J66" s="19"/>
      <c r="K66" s="10"/>
    </row>
    <row r="67" spans="1:11" ht="30" customHeight="1">
      <c r="A67" s="4"/>
      <c r="B67" s="22"/>
      <c r="C67" s="19"/>
      <c r="D67" s="7"/>
      <c r="E67" s="63"/>
      <c r="F67" s="4"/>
      <c r="G67" s="22"/>
      <c r="H67" s="19"/>
      <c r="I67" s="22"/>
      <c r="J67" s="19"/>
      <c r="K67" s="22"/>
    </row>
    <row r="68" spans="1:11" ht="30" customHeight="1" thickBot="1">
      <c r="A68" s="4"/>
      <c r="B68" s="10"/>
      <c r="C68" s="19"/>
      <c r="D68" s="7"/>
      <c r="E68" s="63"/>
      <c r="F68" s="107"/>
      <c r="G68" s="167"/>
      <c r="H68" s="168"/>
      <c r="I68" s="168"/>
      <c r="J68" s="45"/>
      <c r="K68" s="169"/>
    </row>
    <row r="69" spans="1:11" ht="30" customHeight="1" thickTop="1" thickBot="1">
      <c r="A69" s="30"/>
      <c r="B69" s="31" t="s">
        <v>72</v>
      </c>
      <c r="C69" s="34">
        <f>SUM(C52:C68)</f>
        <v>75799220</v>
      </c>
      <c r="D69" s="43"/>
      <c r="E69" s="62"/>
      <c r="F69" s="30"/>
      <c r="G69" s="31" t="s">
        <v>72</v>
      </c>
      <c r="H69" s="34">
        <f>SUM(H52:H68)</f>
        <v>84437077</v>
      </c>
      <c r="I69" s="34"/>
      <c r="J69" s="47" t="s">
        <v>73</v>
      </c>
      <c r="K69" s="62"/>
    </row>
    <row r="70" spans="1:11" ht="14.25">
      <c r="A70" s="2"/>
      <c r="B70" s="2"/>
      <c r="C70" s="2"/>
      <c r="D70" s="2"/>
      <c r="E70" s="2"/>
      <c r="F70" s="2"/>
      <c r="G70" s="2"/>
      <c r="H70" s="2"/>
      <c r="I70" s="2"/>
      <c r="J70" s="3"/>
      <c r="K70" s="3"/>
    </row>
  </sheetData>
  <mergeCells count="17">
    <mergeCell ref="A49:G49"/>
    <mergeCell ref="A50:E50"/>
    <mergeCell ref="F50:K50"/>
    <mergeCell ref="A8:B9"/>
    <mergeCell ref="C8:E9"/>
    <mergeCell ref="F8:G9"/>
    <mergeCell ref="H8:K9"/>
    <mergeCell ref="A11:G11"/>
    <mergeCell ref="A12:E12"/>
    <mergeCell ref="F12:K12"/>
    <mergeCell ref="A2:K3"/>
    <mergeCell ref="A5:J5"/>
    <mergeCell ref="A6:G6"/>
    <mergeCell ref="A7:B7"/>
    <mergeCell ref="C7:E7"/>
    <mergeCell ref="F7:G7"/>
    <mergeCell ref="H7:K7"/>
  </mergeCells>
  <phoneticPr fontId="2" type="noConversion"/>
  <pageMargins left="0" right="0" top="0.39370078740157483" bottom="0" header="0.31496062992125984" footer="0.31496062992125984"/>
  <pageSetup paperSize="9" scale="46" orientation="portrait" r:id="rId1"/>
  <rowBreaks count="1" manualBreakCount="1">
    <brk id="48" max="10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3DA18-4849-4897-9291-7E502C343D31}">
  <sheetPr>
    <tabColor rgb="FF00B0F0"/>
    <pageSetUpPr fitToPage="1"/>
  </sheetPr>
  <dimension ref="A1:K52"/>
  <sheetViews>
    <sheetView view="pageBreakPreview" topLeftCell="A36" zoomScaleNormal="100" zoomScaleSheetLayoutView="100" workbookViewId="0">
      <selection activeCell="F40" sqref="F40:I50"/>
    </sheetView>
  </sheetViews>
  <sheetFormatPr defaultRowHeight="16.5"/>
  <cols>
    <col min="1" max="1" width="4.5" customWidth="1"/>
    <col min="2" max="2" width="43.5" customWidth="1"/>
    <col min="3" max="5" width="17.125" customWidth="1"/>
    <col min="6" max="6" width="4.5" customWidth="1"/>
    <col min="7" max="7" width="52.625" bestFit="1" customWidth="1"/>
    <col min="8" max="8" width="17.25" customWidth="1"/>
    <col min="9" max="9" width="17.25" style="13" customWidth="1"/>
    <col min="10" max="10" width="25" style="13" bestFit="1" customWidth="1"/>
  </cols>
  <sheetData>
    <row r="1" spans="1:11" ht="36.75" customHeight="1"/>
    <row r="2" spans="1:11" ht="21.95" customHeight="1">
      <c r="A2" s="811" t="s">
        <v>14</v>
      </c>
      <c r="B2" s="811"/>
      <c r="C2" s="811"/>
      <c r="D2" s="811"/>
      <c r="E2" s="811"/>
      <c r="F2" s="811"/>
      <c r="G2" s="811"/>
      <c r="H2" s="811"/>
      <c r="I2" s="811"/>
      <c r="J2" s="811"/>
    </row>
    <row r="3" spans="1:11" ht="12" customHeight="1">
      <c r="A3" s="811"/>
      <c r="B3" s="811"/>
      <c r="C3" s="811"/>
      <c r="D3" s="811"/>
      <c r="E3" s="811"/>
      <c r="F3" s="811"/>
      <c r="G3" s="811"/>
      <c r="H3" s="811"/>
      <c r="I3" s="811"/>
      <c r="J3" s="811"/>
    </row>
    <row r="4" spans="1:11" ht="21.75" customHeight="1">
      <c r="A4" s="1"/>
      <c r="B4" s="1"/>
      <c r="C4" s="1"/>
      <c r="D4" s="1"/>
      <c r="E4" s="1"/>
      <c r="F4" s="1"/>
      <c r="G4" s="1"/>
      <c r="H4" s="1"/>
      <c r="I4" s="1"/>
      <c r="J4" s="1"/>
    </row>
    <row r="5" spans="1:11" ht="18" customHeight="1">
      <c r="A5" s="818" t="s">
        <v>286</v>
      </c>
      <c r="B5" s="818"/>
      <c r="C5" s="818"/>
      <c r="D5" s="818"/>
      <c r="E5" s="818"/>
      <c r="F5" s="818"/>
      <c r="G5" s="818"/>
      <c r="H5" s="818"/>
      <c r="I5" s="818"/>
      <c r="J5" s="689"/>
    </row>
    <row r="6" spans="1:11" ht="18" customHeight="1" thickBot="1">
      <c r="A6" s="818" t="s">
        <v>16</v>
      </c>
      <c r="B6" s="819"/>
      <c r="C6" s="819"/>
      <c r="D6" s="819"/>
      <c r="E6" s="819"/>
      <c r="F6" s="819"/>
      <c r="G6" s="819"/>
      <c r="H6" s="690"/>
      <c r="I6" s="3"/>
      <c r="J6" s="3"/>
    </row>
    <row r="7" spans="1:11" ht="27.75" customHeight="1" thickBot="1">
      <c r="A7" s="843" t="s">
        <v>17</v>
      </c>
      <c r="B7" s="844"/>
      <c r="C7" s="837" t="s">
        <v>18</v>
      </c>
      <c r="D7" s="828"/>
      <c r="E7" s="838"/>
      <c r="F7" s="837" t="s">
        <v>19</v>
      </c>
      <c r="G7" s="838"/>
      <c r="H7" s="828" t="s">
        <v>20</v>
      </c>
      <c r="I7" s="828"/>
      <c r="J7" s="829"/>
    </row>
    <row r="8" spans="1:11" ht="18" customHeight="1" thickTop="1" thickBot="1">
      <c r="A8" s="824">
        <v>8943971.0170000196</v>
      </c>
      <c r="B8" s="825"/>
      <c r="C8" s="812">
        <f>C35</f>
        <v>59759153</v>
      </c>
      <c r="D8" s="813"/>
      <c r="E8" s="814"/>
      <c r="F8" s="839">
        <f>SUM(H35)</f>
        <v>84107077</v>
      </c>
      <c r="G8" s="840"/>
      <c r="H8" s="830">
        <f>SUM(A8:E9)-F8</f>
        <v>-15403952.98299998</v>
      </c>
      <c r="I8" s="830"/>
      <c r="J8" s="831"/>
    </row>
    <row r="9" spans="1:11" ht="22.5" customHeight="1" thickTop="1" thickBot="1">
      <c r="A9" s="826"/>
      <c r="B9" s="827"/>
      <c r="C9" s="815"/>
      <c r="D9" s="816"/>
      <c r="E9" s="817"/>
      <c r="F9" s="841"/>
      <c r="G9" s="842"/>
      <c r="H9" s="832"/>
      <c r="I9" s="832"/>
      <c r="J9" s="833"/>
    </row>
    <row r="10" spans="1:11" ht="18" customHeight="1">
      <c r="A10" s="689"/>
      <c r="B10" s="690"/>
      <c r="C10" s="690"/>
      <c r="D10" s="690"/>
      <c r="E10" s="690"/>
      <c r="F10" s="690"/>
      <c r="G10" s="690"/>
      <c r="H10" s="690"/>
      <c r="I10" s="23"/>
      <c r="J10" s="23"/>
    </row>
    <row r="11" spans="1:11" ht="32.25" customHeight="1" thickBot="1">
      <c r="A11" s="818" t="s">
        <v>21</v>
      </c>
      <c r="B11" s="819"/>
      <c r="C11" s="819"/>
      <c r="D11" s="819"/>
      <c r="E11" s="819"/>
      <c r="F11" s="819"/>
      <c r="G11" s="819"/>
      <c r="H11" s="690"/>
      <c r="I11" s="3"/>
      <c r="J11" s="3"/>
    </row>
    <row r="12" spans="1:11" ht="32.25" customHeight="1">
      <c r="A12" s="834" t="s">
        <v>287</v>
      </c>
      <c r="B12" s="835"/>
      <c r="C12" s="835"/>
      <c r="D12" s="835"/>
      <c r="E12" s="836"/>
      <c r="F12" s="834" t="s">
        <v>288</v>
      </c>
      <c r="G12" s="835"/>
      <c r="H12" s="835"/>
      <c r="I12" s="835"/>
      <c r="J12" s="836"/>
    </row>
    <row r="13" spans="1:11" ht="32.25" customHeight="1" thickBot="1">
      <c r="A13" s="25" t="s">
        <v>24</v>
      </c>
      <c r="B13" s="28" t="s">
        <v>25</v>
      </c>
      <c r="C13" s="26" t="s">
        <v>108</v>
      </c>
      <c r="D13" s="26" t="s">
        <v>27</v>
      </c>
      <c r="E13" s="48" t="s">
        <v>10</v>
      </c>
      <c r="F13" s="88" t="s">
        <v>24</v>
      </c>
      <c r="G13" s="28" t="s">
        <v>25</v>
      </c>
      <c r="H13" s="26" t="s">
        <v>26</v>
      </c>
      <c r="I13" s="26" t="s">
        <v>27</v>
      </c>
      <c r="J13" s="48" t="s">
        <v>10</v>
      </c>
    </row>
    <row r="14" spans="1:11" ht="32.25" customHeight="1" thickTop="1">
      <c r="A14" s="4">
        <v>1</v>
      </c>
      <c r="B14" s="207" t="s">
        <v>289</v>
      </c>
      <c r="C14" s="7">
        <f>449773</f>
        <v>449773</v>
      </c>
      <c r="D14" s="139" t="s">
        <v>290</v>
      </c>
      <c r="E14" s="63" t="s">
        <v>30</v>
      </c>
      <c r="F14" s="180">
        <v>1</v>
      </c>
      <c r="G14" s="181" t="s">
        <v>235</v>
      </c>
      <c r="H14" s="67">
        <v>16830840</v>
      </c>
      <c r="I14" s="106">
        <v>44298</v>
      </c>
      <c r="J14" s="229" t="s">
        <v>253</v>
      </c>
      <c r="K14" s="6"/>
    </row>
    <row r="15" spans="1:11" ht="32.25" customHeight="1">
      <c r="A15" s="4">
        <v>2</v>
      </c>
      <c r="B15" s="105" t="s">
        <v>275</v>
      </c>
      <c r="C15" s="7">
        <v>4400000</v>
      </c>
      <c r="D15" s="139" t="s">
        <v>291</v>
      </c>
      <c r="E15" s="63" t="s">
        <v>35</v>
      </c>
      <c r="F15" s="180">
        <v>2</v>
      </c>
      <c r="G15" s="181" t="s">
        <v>236</v>
      </c>
      <c r="H15" s="67">
        <v>20702200</v>
      </c>
      <c r="I15" s="106" t="s">
        <v>35</v>
      </c>
      <c r="J15" s="229" t="s">
        <v>35</v>
      </c>
      <c r="K15" s="6"/>
    </row>
    <row r="16" spans="1:11" ht="32.25" customHeight="1">
      <c r="A16" s="4">
        <v>3</v>
      </c>
      <c r="B16" s="105" t="s">
        <v>279</v>
      </c>
      <c r="C16" s="7">
        <v>9400000</v>
      </c>
      <c r="D16" s="7" t="s">
        <v>292</v>
      </c>
      <c r="E16" s="210" t="s">
        <v>35</v>
      </c>
      <c r="F16" s="180">
        <v>3</v>
      </c>
      <c r="G16" s="181" t="s">
        <v>237</v>
      </c>
      <c r="H16" s="67">
        <v>21419160</v>
      </c>
      <c r="I16" s="106" t="s">
        <v>35</v>
      </c>
      <c r="J16" s="229" t="s">
        <v>35</v>
      </c>
      <c r="K16" s="6"/>
    </row>
    <row r="17" spans="1:11" ht="32.25" customHeight="1">
      <c r="A17" s="77">
        <v>4</v>
      </c>
      <c r="B17" s="211" t="s">
        <v>280</v>
      </c>
      <c r="C17" s="119">
        <v>38250000</v>
      </c>
      <c r="D17" s="119" t="s">
        <v>35</v>
      </c>
      <c r="E17" s="133" t="s">
        <v>35</v>
      </c>
      <c r="F17" s="180">
        <v>4</v>
      </c>
      <c r="G17" s="181" t="s">
        <v>238</v>
      </c>
      <c r="H17" s="67">
        <v>5546680</v>
      </c>
      <c r="I17" s="106" t="s">
        <v>35</v>
      </c>
      <c r="J17" s="229" t="s">
        <v>35</v>
      </c>
      <c r="K17" s="6"/>
    </row>
    <row r="18" spans="1:11" ht="32.25" customHeight="1">
      <c r="A18" s="213">
        <v>5</v>
      </c>
      <c r="B18" s="214" t="s">
        <v>293</v>
      </c>
      <c r="C18" s="40">
        <f>10160</f>
        <v>10160</v>
      </c>
      <c r="D18" s="40" t="s">
        <v>294</v>
      </c>
      <c r="E18" s="215" t="s">
        <v>295</v>
      </c>
      <c r="F18" s="180">
        <v>5</v>
      </c>
      <c r="G18" s="181" t="s">
        <v>239</v>
      </c>
      <c r="H18" s="67">
        <v>1927490</v>
      </c>
      <c r="I18" s="106" t="s">
        <v>35</v>
      </c>
      <c r="J18" s="229" t="s">
        <v>35</v>
      </c>
      <c r="K18" s="6"/>
    </row>
    <row r="19" spans="1:11" ht="32.25" customHeight="1">
      <c r="A19" s="4">
        <v>6</v>
      </c>
      <c r="B19" s="10" t="s">
        <v>277</v>
      </c>
      <c r="C19" s="19">
        <v>7249220</v>
      </c>
      <c r="D19" s="7" t="s">
        <v>294</v>
      </c>
      <c r="E19" s="63" t="s">
        <v>92</v>
      </c>
      <c r="F19" s="180">
        <v>6</v>
      </c>
      <c r="G19" s="208" t="s">
        <v>242</v>
      </c>
      <c r="H19" s="204">
        <v>16987707</v>
      </c>
      <c r="I19" s="106" t="s">
        <v>35</v>
      </c>
      <c r="J19" s="229" t="s">
        <v>35</v>
      </c>
    </row>
    <row r="20" spans="1:11" ht="32.25" customHeight="1">
      <c r="A20" s="27"/>
      <c r="B20" s="105"/>
      <c r="C20" s="7"/>
      <c r="D20" s="139"/>
      <c r="E20" s="94"/>
      <c r="F20" s="180">
        <v>7</v>
      </c>
      <c r="G20" s="181" t="s">
        <v>281</v>
      </c>
      <c r="H20" s="19">
        <v>451000</v>
      </c>
      <c r="I20" s="106">
        <v>44301</v>
      </c>
      <c r="J20" s="229" t="s">
        <v>35</v>
      </c>
    </row>
    <row r="21" spans="1:11" ht="32.25" customHeight="1">
      <c r="A21" s="27"/>
      <c r="B21" s="105"/>
      <c r="C21" s="7"/>
      <c r="D21" s="7"/>
      <c r="E21" s="240"/>
      <c r="F21" s="221">
        <v>8</v>
      </c>
      <c r="G21" s="209" t="s">
        <v>283</v>
      </c>
      <c r="H21" s="19">
        <v>231000</v>
      </c>
      <c r="I21" s="7" t="s">
        <v>35</v>
      </c>
      <c r="J21" s="229" t="s">
        <v>35</v>
      </c>
    </row>
    <row r="22" spans="1:11" ht="32.25" customHeight="1">
      <c r="A22" s="27"/>
      <c r="B22" s="105"/>
      <c r="C22" s="7"/>
      <c r="D22" s="7"/>
      <c r="E22" s="94"/>
      <c r="F22" s="222">
        <v>9</v>
      </c>
      <c r="G22" s="216" t="s">
        <v>60</v>
      </c>
      <c r="H22" s="40">
        <v>11000</v>
      </c>
      <c r="I22" s="217">
        <v>44302</v>
      </c>
      <c r="J22" s="218" t="s">
        <v>61</v>
      </c>
    </row>
    <row r="23" spans="1:11" ht="32.25" customHeight="1">
      <c r="A23" s="27"/>
      <c r="B23" s="105"/>
      <c r="C23" s="7"/>
      <c r="D23" s="7"/>
      <c r="E23" s="94"/>
      <c r="F23" s="244">
        <v>10</v>
      </c>
      <c r="G23" s="245" t="s">
        <v>296</v>
      </c>
      <c r="H23" s="9">
        <f>27500</f>
        <v>27500</v>
      </c>
      <c r="I23" s="246">
        <v>44298</v>
      </c>
      <c r="J23" s="230" t="s">
        <v>64</v>
      </c>
    </row>
    <row r="24" spans="1:11" ht="32.25" customHeight="1">
      <c r="A24" s="27"/>
      <c r="B24" s="105"/>
      <c r="C24" s="7"/>
      <c r="D24" s="7"/>
      <c r="E24" s="94"/>
      <c r="F24" s="191">
        <v>11</v>
      </c>
      <c r="G24" s="209" t="s">
        <v>297</v>
      </c>
      <c r="H24" s="7">
        <f>33000</f>
        <v>33000</v>
      </c>
      <c r="I24" s="106">
        <v>44300</v>
      </c>
      <c r="J24" s="229"/>
    </row>
    <row r="25" spans="1:11" ht="32.25" customHeight="1">
      <c r="A25" s="27"/>
      <c r="B25" s="105"/>
      <c r="C25" s="7"/>
      <c r="D25" s="7"/>
      <c r="E25" s="94"/>
      <c r="F25" s="191">
        <v>12</v>
      </c>
      <c r="G25" s="181" t="s">
        <v>298</v>
      </c>
      <c r="H25" s="7">
        <f>8000</f>
        <v>8000</v>
      </c>
      <c r="I25" s="106" t="s">
        <v>35</v>
      </c>
      <c r="J25" s="229"/>
    </row>
    <row r="26" spans="1:11" ht="32.25" customHeight="1">
      <c r="A26" s="27"/>
      <c r="B26" s="105"/>
      <c r="C26" s="7"/>
      <c r="D26" s="7"/>
      <c r="E26" s="94"/>
      <c r="F26" s="191">
        <v>13</v>
      </c>
      <c r="G26" s="181" t="s">
        <v>299</v>
      </c>
      <c r="H26" s="7">
        <f>45900</f>
        <v>45900</v>
      </c>
      <c r="I26" s="106" t="s">
        <v>35</v>
      </c>
      <c r="J26" s="229"/>
    </row>
    <row r="27" spans="1:11" ht="32.25" customHeight="1">
      <c r="A27" s="27"/>
      <c r="B27" s="105"/>
      <c r="C27" s="7"/>
      <c r="D27" s="7"/>
      <c r="E27" s="94"/>
      <c r="F27" s="191">
        <v>14</v>
      </c>
      <c r="G27" s="181" t="s">
        <v>300</v>
      </c>
      <c r="H27" s="7">
        <f>2580000</f>
        <v>2580000</v>
      </c>
      <c r="I27" s="106">
        <v>44301</v>
      </c>
      <c r="J27" s="229"/>
    </row>
    <row r="28" spans="1:11" ht="32.25" customHeight="1">
      <c r="A28" s="27"/>
      <c r="B28" s="105"/>
      <c r="C28" s="7"/>
      <c r="D28" s="7"/>
      <c r="E28" s="94"/>
      <c r="F28" s="191">
        <v>15</v>
      </c>
      <c r="G28" s="181" t="s">
        <v>301</v>
      </c>
      <c r="H28" s="7">
        <f>21850</f>
        <v>21850</v>
      </c>
      <c r="I28" s="106" t="s">
        <v>35</v>
      </c>
      <c r="J28" s="229"/>
    </row>
    <row r="29" spans="1:11" ht="32.25" customHeight="1">
      <c r="A29" s="27"/>
      <c r="B29" s="105"/>
      <c r="C29" s="7"/>
      <c r="D29" s="7"/>
      <c r="E29" s="94"/>
      <c r="F29" s="191">
        <v>16</v>
      </c>
      <c r="G29" s="181" t="s">
        <v>302</v>
      </c>
      <c r="H29" s="7">
        <f>3690</f>
        <v>3690</v>
      </c>
      <c r="I29" s="106" t="s">
        <v>35</v>
      </c>
      <c r="J29" s="229"/>
    </row>
    <row r="30" spans="1:11" ht="32.25" customHeight="1">
      <c r="A30" s="27"/>
      <c r="B30" s="105"/>
      <c r="C30" s="7"/>
      <c r="D30" s="7"/>
      <c r="E30" s="94"/>
      <c r="F30" s="191">
        <v>17</v>
      </c>
      <c r="G30" s="247" t="s">
        <v>303</v>
      </c>
      <c r="H30" s="7">
        <f>96250</f>
        <v>96250</v>
      </c>
      <c r="I30" s="106" t="s">
        <v>35</v>
      </c>
      <c r="J30" s="229"/>
    </row>
    <row r="31" spans="1:11" ht="32.25" customHeight="1">
      <c r="A31" s="27"/>
      <c r="B31" s="105"/>
      <c r="C31" s="7"/>
      <c r="D31" s="7"/>
      <c r="E31" s="94"/>
      <c r="F31" s="191">
        <v>18</v>
      </c>
      <c r="G31" s="181" t="s">
        <v>304</v>
      </c>
      <c r="H31" s="7">
        <f>9500</f>
        <v>9500</v>
      </c>
      <c r="I31" s="106"/>
      <c r="J31" s="229"/>
    </row>
    <row r="32" spans="1:11" ht="32.25" customHeight="1">
      <c r="A32" s="27"/>
      <c r="B32" s="105"/>
      <c r="C32" s="7"/>
      <c r="D32" s="7"/>
      <c r="E32" s="94"/>
      <c r="F32" s="191">
        <v>19</v>
      </c>
      <c r="G32" s="181" t="s">
        <v>305</v>
      </c>
      <c r="H32" s="7">
        <f>83070</f>
        <v>83070</v>
      </c>
      <c r="I32" s="106">
        <v>44302</v>
      </c>
      <c r="J32" s="229"/>
    </row>
    <row r="33" spans="1:10" ht="32.25" customHeight="1">
      <c r="A33" s="27"/>
      <c r="B33" s="105"/>
      <c r="C33" s="7"/>
      <c r="D33" s="7"/>
      <c r="E33" s="94"/>
      <c r="F33" s="191">
        <v>20</v>
      </c>
      <c r="G33" s="181" t="s">
        <v>306</v>
      </c>
      <c r="H33" s="7">
        <f>15800</f>
        <v>15800</v>
      </c>
      <c r="I33" s="106" t="s">
        <v>35</v>
      </c>
      <c r="J33" s="229"/>
    </row>
    <row r="34" spans="1:10" ht="32.25" customHeight="1" thickBot="1">
      <c r="A34" s="241"/>
      <c r="B34" s="242"/>
      <c r="C34" s="177"/>
      <c r="D34" s="177"/>
      <c r="E34" s="243"/>
      <c r="F34" s="248">
        <v>21</v>
      </c>
      <c r="G34" s="249" t="s">
        <v>307</v>
      </c>
      <c r="H34" s="177">
        <f>33000</f>
        <v>33000</v>
      </c>
      <c r="I34" s="195" t="s">
        <v>35</v>
      </c>
      <c r="J34" s="250"/>
    </row>
    <row r="35" spans="1:10" ht="32.25" customHeight="1" thickTop="1" thickBot="1">
      <c r="A35" s="231"/>
      <c r="B35" s="232" t="s">
        <v>72</v>
      </c>
      <c r="C35" s="233">
        <f>SUM(C14:C34)</f>
        <v>59759153</v>
      </c>
      <c r="D35" s="234"/>
      <c r="E35" s="235"/>
      <c r="F35" s="236"/>
      <c r="G35" s="232" t="s">
        <v>72</v>
      </c>
      <c r="H35" s="237">
        <f>SUM(H14:H22)</f>
        <v>84107077</v>
      </c>
      <c r="I35" s="238" t="s">
        <v>73</v>
      </c>
      <c r="J35" s="239"/>
    </row>
    <row r="36" spans="1:10" ht="25.5" customHeight="1" thickBot="1">
      <c r="A36" s="820" t="s">
        <v>74</v>
      </c>
      <c r="B36" s="821"/>
      <c r="C36" s="821"/>
      <c r="D36" s="821"/>
      <c r="E36" s="821"/>
      <c r="F36" s="821"/>
      <c r="G36" s="821"/>
      <c r="H36" s="691"/>
      <c r="I36" s="11"/>
      <c r="J36" s="11"/>
    </row>
    <row r="37" spans="1:10" ht="30" customHeight="1" thickBot="1">
      <c r="A37" s="848" t="s">
        <v>308</v>
      </c>
      <c r="B37" s="849"/>
      <c r="C37" s="849"/>
      <c r="D37" s="849"/>
      <c r="E37" s="850"/>
      <c r="F37" s="848" t="s">
        <v>309</v>
      </c>
      <c r="G37" s="849"/>
      <c r="H37" s="849"/>
      <c r="I37" s="849"/>
      <c r="J37" s="850"/>
    </row>
    <row r="38" spans="1:10" ht="30" customHeight="1" thickBot="1">
      <c r="A38" s="224" t="s">
        <v>24</v>
      </c>
      <c r="B38" s="225" t="s">
        <v>25</v>
      </c>
      <c r="C38" s="226" t="s">
        <v>108</v>
      </c>
      <c r="D38" s="226" t="s">
        <v>27</v>
      </c>
      <c r="E38" s="692" t="s">
        <v>10</v>
      </c>
      <c r="F38" s="224" t="s">
        <v>24</v>
      </c>
      <c r="G38" s="225" t="s">
        <v>25</v>
      </c>
      <c r="H38" s="226" t="s">
        <v>26</v>
      </c>
      <c r="I38" s="226" t="s">
        <v>27</v>
      </c>
      <c r="J38" s="692" t="s">
        <v>10</v>
      </c>
    </row>
    <row r="39" spans="1:10" ht="30" customHeight="1" thickTop="1">
      <c r="A39" s="4">
        <v>1</v>
      </c>
      <c r="B39" s="10" t="s">
        <v>204</v>
      </c>
      <c r="C39" s="19">
        <v>16500000</v>
      </c>
      <c r="D39" s="139" t="s">
        <v>140</v>
      </c>
      <c r="E39" s="63"/>
      <c r="F39" s="83">
        <v>1</v>
      </c>
      <c r="G39" s="220" t="s">
        <v>284</v>
      </c>
      <c r="H39" s="144">
        <v>330000</v>
      </c>
      <c r="I39" s="144" t="s">
        <v>282</v>
      </c>
      <c r="J39" s="227" t="s">
        <v>285</v>
      </c>
    </row>
    <row r="40" spans="1:10" ht="30" customHeight="1">
      <c r="A40" s="4">
        <v>2</v>
      </c>
      <c r="B40" s="10" t="s">
        <v>310</v>
      </c>
      <c r="C40" s="19">
        <v>32670000</v>
      </c>
      <c r="D40" s="139" t="s">
        <v>311</v>
      </c>
      <c r="E40" s="63"/>
      <c r="F40" s="149">
        <v>2</v>
      </c>
      <c r="G40" s="203" t="s">
        <v>312</v>
      </c>
      <c r="H40" s="146">
        <f>323110</f>
        <v>323110</v>
      </c>
      <c r="I40" s="147">
        <v>44308</v>
      </c>
      <c r="J40" s="153" t="s">
        <v>61</v>
      </c>
    </row>
    <row r="41" spans="1:10" ht="30" customHeight="1">
      <c r="A41" s="4">
        <v>3</v>
      </c>
      <c r="B41" s="10" t="s">
        <v>313</v>
      </c>
      <c r="C41" s="19">
        <v>15246000</v>
      </c>
      <c r="D41" s="7" t="s">
        <v>311</v>
      </c>
      <c r="E41" s="63"/>
      <c r="F41" s="107">
        <v>3</v>
      </c>
      <c r="G41" s="155" t="s">
        <v>314</v>
      </c>
      <c r="H41" s="74">
        <f>50050</f>
        <v>50050</v>
      </c>
      <c r="I41" s="7" t="s">
        <v>35</v>
      </c>
      <c r="J41" s="85" t="s">
        <v>35</v>
      </c>
    </row>
    <row r="42" spans="1:10" ht="30" customHeight="1">
      <c r="A42" s="4"/>
      <c r="B42" s="10"/>
      <c r="C42" s="19"/>
      <c r="D42" s="7"/>
      <c r="E42" s="63"/>
      <c r="F42" s="56">
        <v>4</v>
      </c>
      <c r="G42" s="155" t="s">
        <v>315</v>
      </c>
      <c r="H42" s="19">
        <f>132000</f>
        <v>132000</v>
      </c>
      <c r="I42" s="7" t="s">
        <v>35</v>
      </c>
      <c r="J42" s="85" t="s">
        <v>35</v>
      </c>
    </row>
    <row r="43" spans="1:10" ht="30" customHeight="1">
      <c r="A43" s="4"/>
      <c r="B43" s="10"/>
      <c r="C43" s="19"/>
      <c r="D43" s="7"/>
      <c r="E43" s="63"/>
      <c r="F43" s="75">
        <v>5</v>
      </c>
      <c r="G43" s="155" t="s">
        <v>100</v>
      </c>
      <c r="H43" s="19">
        <v>11000</v>
      </c>
      <c r="I43" s="7" t="s">
        <v>35</v>
      </c>
      <c r="J43" s="85" t="s">
        <v>35</v>
      </c>
    </row>
    <row r="44" spans="1:10" ht="30" customHeight="1">
      <c r="A44" s="4"/>
      <c r="B44" s="10"/>
      <c r="C44" s="19"/>
      <c r="D44" s="7"/>
      <c r="E44" s="63"/>
      <c r="F44" s="75">
        <v>6</v>
      </c>
      <c r="G44" s="155" t="s">
        <v>316</v>
      </c>
      <c r="H44" s="19">
        <f>10806086</f>
        <v>10806086</v>
      </c>
      <c r="I44" s="223" t="s">
        <v>311</v>
      </c>
      <c r="J44" s="85"/>
    </row>
    <row r="45" spans="1:10" ht="30" customHeight="1">
      <c r="A45" s="4"/>
      <c r="B45" s="10"/>
      <c r="C45" s="19"/>
      <c r="D45" s="7"/>
      <c r="E45" s="63"/>
      <c r="F45" s="75">
        <v>7</v>
      </c>
      <c r="G45" s="155" t="s">
        <v>317</v>
      </c>
      <c r="H45" s="19">
        <f>1581243</f>
        <v>1581243</v>
      </c>
      <c r="I45" s="223" t="s">
        <v>35</v>
      </c>
      <c r="J45" s="85"/>
    </row>
    <row r="46" spans="1:10" ht="30" customHeight="1">
      <c r="A46" s="4"/>
      <c r="B46" s="10"/>
      <c r="C46" s="19"/>
      <c r="D46" s="7"/>
      <c r="E46" s="63"/>
      <c r="F46" s="75">
        <v>8</v>
      </c>
      <c r="G46" s="155" t="s">
        <v>318</v>
      </c>
      <c r="H46" s="19">
        <v>1017970</v>
      </c>
      <c r="I46" s="9" t="s">
        <v>35</v>
      </c>
      <c r="J46" s="85"/>
    </row>
    <row r="47" spans="1:10" ht="30" customHeight="1">
      <c r="A47" s="4"/>
      <c r="B47" s="10"/>
      <c r="C47" s="19"/>
      <c r="D47" s="7"/>
      <c r="E47" s="63"/>
      <c r="F47" s="75">
        <v>9</v>
      </c>
      <c r="G47" s="155" t="s">
        <v>319</v>
      </c>
      <c r="H47" s="19">
        <f>300300</f>
        <v>300300</v>
      </c>
      <c r="I47" s="71">
        <v>44311</v>
      </c>
      <c r="J47" s="85" t="s">
        <v>35</v>
      </c>
    </row>
    <row r="48" spans="1:10" ht="30" customHeight="1">
      <c r="A48" s="4"/>
      <c r="B48" s="22"/>
      <c r="C48" s="19"/>
      <c r="D48" s="7"/>
      <c r="E48" s="63"/>
      <c r="F48" s="75">
        <v>10</v>
      </c>
      <c r="G48" s="155" t="s">
        <v>320</v>
      </c>
      <c r="H48" s="19">
        <f>220000</f>
        <v>220000</v>
      </c>
      <c r="I48" s="7" t="s">
        <v>35</v>
      </c>
      <c r="J48" s="85" t="s">
        <v>35</v>
      </c>
    </row>
    <row r="49" spans="1:10" ht="30" customHeight="1">
      <c r="A49" s="4"/>
      <c r="B49" s="10"/>
      <c r="C49" s="19"/>
      <c r="D49" s="7"/>
      <c r="E49" s="63"/>
      <c r="F49" s="75">
        <v>11</v>
      </c>
      <c r="G49" s="155" t="s">
        <v>321</v>
      </c>
      <c r="H49" s="19">
        <f>107400</f>
        <v>107400</v>
      </c>
      <c r="I49" s="7" t="s">
        <v>35</v>
      </c>
      <c r="J49" s="85" t="s">
        <v>35</v>
      </c>
    </row>
    <row r="50" spans="1:10" ht="30" customHeight="1" thickBot="1">
      <c r="A50" s="4"/>
      <c r="B50" s="22"/>
      <c r="C50" s="19"/>
      <c r="D50" s="7"/>
      <c r="E50" s="63"/>
      <c r="F50" s="75">
        <v>12</v>
      </c>
      <c r="G50" s="219" t="s">
        <v>322</v>
      </c>
      <c r="H50" s="80">
        <f>32900</f>
        <v>32900</v>
      </c>
      <c r="I50" s="119" t="s">
        <v>35</v>
      </c>
      <c r="J50" s="228" t="s">
        <v>35</v>
      </c>
    </row>
    <row r="51" spans="1:10" ht="30" customHeight="1" thickTop="1" thickBot="1">
      <c r="A51" s="30"/>
      <c r="B51" s="31" t="s">
        <v>72</v>
      </c>
      <c r="C51" s="34">
        <f>SUM(C39:C50)</f>
        <v>64416000</v>
      </c>
      <c r="D51" s="43"/>
      <c r="E51" s="62"/>
      <c r="F51" s="30"/>
      <c r="G51" s="31" t="s">
        <v>72</v>
      </c>
      <c r="H51" s="34">
        <f>SUM(H39:H50)</f>
        <v>14912059</v>
      </c>
      <c r="I51" s="47" t="s">
        <v>73</v>
      </c>
      <c r="J51" s="62"/>
    </row>
    <row r="52" spans="1:10" ht="14.25">
      <c r="A52" s="2"/>
      <c r="B52" s="2"/>
      <c r="C52" s="2"/>
      <c r="D52" s="2"/>
      <c r="E52" s="2"/>
      <c r="F52" s="2"/>
      <c r="G52" s="2"/>
      <c r="H52" s="2"/>
      <c r="I52" s="3"/>
      <c r="J52" s="3"/>
    </row>
  </sheetData>
  <mergeCells count="17">
    <mergeCell ref="A36:G36"/>
    <mergeCell ref="A37:E37"/>
    <mergeCell ref="F37:J37"/>
    <mergeCell ref="A8:B9"/>
    <mergeCell ref="C8:E9"/>
    <mergeCell ref="F8:G9"/>
    <mergeCell ref="H8:J9"/>
    <mergeCell ref="A11:G11"/>
    <mergeCell ref="A12:E12"/>
    <mergeCell ref="F12:J12"/>
    <mergeCell ref="A2:J3"/>
    <mergeCell ref="A5:I5"/>
    <mergeCell ref="A6:G6"/>
    <mergeCell ref="A7:B7"/>
    <mergeCell ref="C7:E7"/>
    <mergeCell ref="F7:G7"/>
    <mergeCell ref="H7:J7"/>
  </mergeCells>
  <phoneticPr fontId="2" type="noConversion"/>
  <pageMargins left="0" right="0" top="0.39370078740157483" bottom="0" header="0.31496062992125984" footer="0.31496062992125984"/>
  <pageSetup paperSize="9" scale="47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A0F8A-31E7-45E8-939E-25E1ACF36BCA}">
  <sheetPr>
    <tabColor rgb="FF00B0F0"/>
  </sheetPr>
  <dimension ref="A1:L94"/>
  <sheetViews>
    <sheetView view="pageBreakPreview" topLeftCell="A37" zoomScale="85" zoomScaleNormal="100" zoomScaleSheetLayoutView="85" workbookViewId="0">
      <selection activeCell="B48" sqref="B48"/>
    </sheetView>
  </sheetViews>
  <sheetFormatPr defaultRowHeight="16.5"/>
  <cols>
    <col min="1" max="1" width="4.5" customWidth="1"/>
    <col min="2" max="2" width="54.5" customWidth="1"/>
    <col min="3" max="4" width="17.125" customWidth="1"/>
    <col min="5" max="5" width="23.25" customWidth="1"/>
    <col min="6" max="6" width="4.5" customWidth="1"/>
    <col min="7" max="7" width="62.375" customWidth="1"/>
    <col min="8" max="9" width="17.25" customWidth="1"/>
    <col min="10" max="10" width="17.25" style="13" customWidth="1"/>
    <col min="11" max="11" width="27.5" style="13" customWidth="1"/>
  </cols>
  <sheetData>
    <row r="1" spans="1:12" ht="36.75" customHeight="1"/>
    <row r="2" spans="1:12" ht="21.95" customHeight="1">
      <c r="A2" s="811" t="s">
        <v>14</v>
      </c>
      <c r="B2" s="811"/>
      <c r="C2" s="811"/>
      <c r="D2" s="811"/>
      <c r="E2" s="811"/>
      <c r="F2" s="811"/>
      <c r="G2" s="811"/>
      <c r="H2" s="811"/>
      <c r="I2" s="811"/>
      <c r="J2" s="811"/>
      <c r="K2" s="811"/>
    </row>
    <row r="3" spans="1:12" ht="12" customHeight="1">
      <c r="A3" s="811"/>
      <c r="B3" s="811"/>
      <c r="C3" s="811"/>
      <c r="D3" s="811"/>
      <c r="E3" s="811"/>
      <c r="F3" s="811"/>
      <c r="G3" s="811"/>
      <c r="H3" s="811"/>
      <c r="I3" s="811"/>
      <c r="J3" s="811"/>
      <c r="K3" s="811"/>
    </row>
    <row r="4" spans="1:12" ht="21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2" ht="18" customHeight="1">
      <c r="A5" s="818" t="s">
        <v>323</v>
      </c>
      <c r="B5" s="818"/>
      <c r="C5" s="818"/>
      <c r="D5" s="818"/>
      <c r="E5" s="818"/>
      <c r="F5" s="818"/>
      <c r="G5" s="818"/>
      <c r="H5" s="818"/>
      <c r="I5" s="818"/>
      <c r="J5" s="818"/>
      <c r="K5" s="689"/>
    </row>
    <row r="6" spans="1:12" ht="18" customHeight="1" thickBot="1">
      <c r="A6" s="818" t="s">
        <v>16</v>
      </c>
      <c r="B6" s="819"/>
      <c r="C6" s="819"/>
      <c r="D6" s="819"/>
      <c r="E6" s="819"/>
      <c r="F6" s="819"/>
      <c r="G6" s="819"/>
      <c r="H6" s="690"/>
      <c r="I6" s="690"/>
      <c r="J6" s="3"/>
      <c r="K6" s="3"/>
    </row>
    <row r="7" spans="1:12" ht="27.75" customHeight="1" thickBot="1">
      <c r="A7" s="843" t="s">
        <v>17</v>
      </c>
      <c r="B7" s="844"/>
      <c r="C7" s="837" t="s">
        <v>18</v>
      </c>
      <c r="D7" s="828"/>
      <c r="E7" s="838"/>
      <c r="F7" s="837" t="s">
        <v>19</v>
      </c>
      <c r="G7" s="838"/>
      <c r="H7" s="828" t="s">
        <v>20</v>
      </c>
      <c r="I7" s="828"/>
      <c r="J7" s="828"/>
      <c r="K7" s="829"/>
    </row>
    <row r="8" spans="1:12" ht="18" customHeight="1" thickTop="1" thickBot="1">
      <c r="A8" s="824">
        <v>-15403952.98299998</v>
      </c>
      <c r="B8" s="825"/>
      <c r="C8" s="812">
        <f>C42</f>
        <v>91093126</v>
      </c>
      <c r="D8" s="813"/>
      <c r="E8" s="814"/>
      <c r="F8" s="839">
        <f>SUM(H42)</f>
        <v>15742700</v>
      </c>
      <c r="G8" s="840"/>
      <c r="H8" s="830">
        <f>SUM(A8:E9)-F8</f>
        <v>59946473.01700002</v>
      </c>
      <c r="I8" s="830"/>
      <c r="J8" s="830"/>
      <c r="K8" s="831"/>
    </row>
    <row r="9" spans="1:12" ht="22.5" customHeight="1" thickTop="1" thickBot="1">
      <c r="A9" s="826"/>
      <c r="B9" s="827"/>
      <c r="C9" s="815"/>
      <c r="D9" s="816"/>
      <c r="E9" s="817"/>
      <c r="F9" s="841"/>
      <c r="G9" s="842"/>
      <c r="H9" s="832"/>
      <c r="I9" s="832"/>
      <c r="J9" s="832"/>
      <c r="K9" s="833"/>
    </row>
    <row r="10" spans="1:12" ht="18" customHeight="1">
      <c r="A10" s="689"/>
      <c r="B10" s="690"/>
      <c r="C10" s="690"/>
      <c r="D10" s="690"/>
      <c r="E10" s="690"/>
      <c r="F10" s="690"/>
      <c r="G10" s="690"/>
      <c r="H10" s="690"/>
      <c r="I10" s="690"/>
      <c r="J10" s="23"/>
      <c r="K10" s="23"/>
    </row>
    <row r="11" spans="1:12" ht="32.25" customHeight="1" thickBot="1">
      <c r="A11" s="818" t="s">
        <v>21</v>
      </c>
      <c r="B11" s="819"/>
      <c r="C11" s="819"/>
      <c r="D11" s="819"/>
      <c r="E11" s="819"/>
      <c r="F11" s="819"/>
      <c r="G11" s="819"/>
      <c r="H11" s="690"/>
      <c r="I11" s="690"/>
      <c r="J11" s="3"/>
      <c r="K11" s="3"/>
    </row>
    <row r="12" spans="1:12" ht="39.950000000000003" customHeight="1">
      <c r="A12" s="834" t="s">
        <v>324</v>
      </c>
      <c r="B12" s="835"/>
      <c r="C12" s="835"/>
      <c r="D12" s="835"/>
      <c r="E12" s="836"/>
      <c r="F12" s="834" t="s">
        <v>325</v>
      </c>
      <c r="G12" s="835"/>
      <c r="H12" s="835"/>
      <c r="I12" s="835"/>
      <c r="J12" s="835"/>
      <c r="K12" s="836"/>
    </row>
    <row r="13" spans="1:12" ht="39.950000000000003" customHeight="1" thickBot="1">
      <c r="A13" s="25" t="s">
        <v>24</v>
      </c>
      <c r="B13" s="28" t="s">
        <v>25</v>
      </c>
      <c r="C13" s="26" t="s">
        <v>108</v>
      </c>
      <c r="D13" s="26" t="s">
        <v>27</v>
      </c>
      <c r="E13" s="48" t="s">
        <v>10</v>
      </c>
      <c r="F13" s="88" t="s">
        <v>24</v>
      </c>
      <c r="G13" s="28" t="s">
        <v>25</v>
      </c>
      <c r="H13" s="26" t="s">
        <v>26</v>
      </c>
      <c r="I13" s="26"/>
      <c r="J13" s="26" t="s">
        <v>27</v>
      </c>
      <c r="K13" s="48" t="s">
        <v>10</v>
      </c>
    </row>
    <row r="14" spans="1:12" ht="39.950000000000003" customHeight="1" thickTop="1">
      <c r="A14" s="4">
        <v>1</v>
      </c>
      <c r="B14" s="10" t="s">
        <v>326</v>
      </c>
      <c r="C14" s="19">
        <v>38745667</v>
      </c>
      <c r="D14" s="118" t="s">
        <v>327</v>
      </c>
      <c r="E14" s="63" t="s">
        <v>30</v>
      </c>
      <c r="F14" s="251">
        <v>1</v>
      </c>
      <c r="G14" s="252" t="s">
        <v>328</v>
      </c>
      <c r="H14" s="253">
        <f>85000</f>
        <v>85000</v>
      </c>
      <c r="I14" s="96"/>
      <c r="J14" s="71">
        <v>44306</v>
      </c>
      <c r="K14" s="229" t="s">
        <v>180</v>
      </c>
      <c r="L14" s="6"/>
    </row>
    <row r="15" spans="1:12" ht="39.950000000000003" customHeight="1">
      <c r="A15" s="4">
        <v>2</v>
      </c>
      <c r="B15" s="10" t="s">
        <v>329</v>
      </c>
      <c r="C15" s="19">
        <v>7207200</v>
      </c>
      <c r="D15" s="139" t="s">
        <v>35</v>
      </c>
      <c r="E15" s="63" t="s">
        <v>35</v>
      </c>
      <c r="F15" s="107">
        <v>2</v>
      </c>
      <c r="G15" s="220" t="s">
        <v>330</v>
      </c>
      <c r="H15" s="144">
        <v>511561</v>
      </c>
      <c r="I15" s="144"/>
      <c r="J15" s="144" t="s">
        <v>35</v>
      </c>
      <c r="K15" s="254" t="s">
        <v>109</v>
      </c>
      <c r="L15" s="6"/>
    </row>
    <row r="16" spans="1:12" ht="39.950000000000003" customHeight="1">
      <c r="A16" s="4">
        <v>3</v>
      </c>
      <c r="B16" s="10" t="s">
        <v>331</v>
      </c>
      <c r="C16" s="19">
        <v>7207200</v>
      </c>
      <c r="D16" s="7" t="s">
        <v>35</v>
      </c>
      <c r="E16" s="63" t="s">
        <v>35</v>
      </c>
      <c r="F16" s="107">
        <v>3</v>
      </c>
      <c r="G16" s="220" t="s">
        <v>332</v>
      </c>
      <c r="H16" s="144">
        <v>1000000</v>
      </c>
      <c r="I16" s="144"/>
      <c r="J16" s="71">
        <v>44309</v>
      </c>
      <c r="K16" s="254" t="s">
        <v>333</v>
      </c>
      <c r="L16" s="6"/>
    </row>
    <row r="17" spans="1:12" ht="39.950000000000003" customHeight="1">
      <c r="A17" s="4">
        <v>4</v>
      </c>
      <c r="B17" s="10" t="s">
        <v>334</v>
      </c>
      <c r="C17" s="19">
        <f>7700000</f>
        <v>7700000</v>
      </c>
      <c r="D17" s="139" t="s">
        <v>335</v>
      </c>
      <c r="E17" s="63" t="s">
        <v>35</v>
      </c>
      <c r="F17" s="258">
        <v>4</v>
      </c>
      <c r="G17" s="220" t="s">
        <v>318</v>
      </c>
      <c r="H17" s="144">
        <f>1017970</f>
        <v>1017970</v>
      </c>
      <c r="I17" s="144"/>
      <c r="J17" s="71" t="s">
        <v>35</v>
      </c>
      <c r="K17" s="254" t="s">
        <v>336</v>
      </c>
      <c r="L17" s="6"/>
    </row>
    <row r="18" spans="1:12" ht="39.950000000000003" customHeight="1">
      <c r="A18" s="4">
        <v>5</v>
      </c>
      <c r="B18" s="10" t="s">
        <v>313</v>
      </c>
      <c r="C18" s="19">
        <f>15246000</f>
        <v>15246000</v>
      </c>
      <c r="D18" s="139" t="s">
        <v>337</v>
      </c>
      <c r="E18" s="63" t="s">
        <v>35</v>
      </c>
      <c r="F18" s="149">
        <v>5</v>
      </c>
      <c r="G18" s="203" t="s">
        <v>314</v>
      </c>
      <c r="H18" s="146">
        <f>50050</f>
        <v>50050</v>
      </c>
      <c r="I18" s="146"/>
      <c r="J18" s="147">
        <v>44307</v>
      </c>
      <c r="K18" s="153" t="s">
        <v>61</v>
      </c>
      <c r="L18" s="6"/>
    </row>
    <row r="19" spans="1:12" ht="39.950000000000003" customHeight="1">
      <c r="A19" s="77">
        <v>6</v>
      </c>
      <c r="B19" s="37" t="s">
        <v>338</v>
      </c>
      <c r="C19" s="80">
        <v>13321000</v>
      </c>
      <c r="D19" s="255" t="s">
        <v>35</v>
      </c>
      <c r="E19" s="133" t="s">
        <v>35</v>
      </c>
      <c r="F19" s="4">
        <v>6</v>
      </c>
      <c r="G19" s="155" t="s">
        <v>315</v>
      </c>
      <c r="H19" s="19">
        <f>132000</f>
        <v>132000</v>
      </c>
      <c r="I19" s="19"/>
      <c r="J19" s="7" t="s">
        <v>35</v>
      </c>
      <c r="K19" s="86" t="s">
        <v>35</v>
      </c>
      <c r="L19" s="6"/>
    </row>
    <row r="20" spans="1:12" ht="39.950000000000003" customHeight="1">
      <c r="A20" s="75">
        <v>7</v>
      </c>
      <c r="B20" s="5" t="s">
        <v>339</v>
      </c>
      <c r="C20" s="96">
        <f>833000</f>
        <v>833000</v>
      </c>
      <c r="D20" s="118" t="s">
        <v>327</v>
      </c>
      <c r="E20" s="76" t="s">
        <v>340</v>
      </c>
      <c r="F20" s="4">
        <v>7</v>
      </c>
      <c r="G20" s="155" t="s">
        <v>312</v>
      </c>
      <c r="H20" s="67">
        <v>327790</v>
      </c>
      <c r="I20" s="67"/>
      <c r="J20" s="8">
        <v>44308</v>
      </c>
      <c r="K20" s="86" t="s">
        <v>35</v>
      </c>
      <c r="L20" s="6"/>
    </row>
    <row r="21" spans="1:12" ht="39.950000000000003" customHeight="1">
      <c r="A21" s="52">
        <v>8</v>
      </c>
      <c r="B21" s="37" t="s">
        <v>341</v>
      </c>
      <c r="C21" s="80">
        <f>833000</f>
        <v>833000</v>
      </c>
      <c r="D21" s="119" t="s">
        <v>35</v>
      </c>
      <c r="E21" s="257" t="s">
        <v>35</v>
      </c>
      <c r="F21" s="4">
        <v>8</v>
      </c>
      <c r="G21" s="155" t="s">
        <v>100</v>
      </c>
      <c r="H21" s="19">
        <v>11000</v>
      </c>
      <c r="I21" s="19"/>
      <c r="J21" s="7" t="s">
        <v>35</v>
      </c>
      <c r="K21" s="86" t="s">
        <v>35</v>
      </c>
      <c r="L21" s="6"/>
    </row>
    <row r="22" spans="1:12" ht="39.950000000000003" customHeight="1">
      <c r="A22" s="75">
        <v>9</v>
      </c>
      <c r="B22" s="5" t="s">
        <v>342</v>
      </c>
      <c r="C22" s="96">
        <f>59</f>
        <v>59</v>
      </c>
      <c r="D22" s="118" t="s">
        <v>343</v>
      </c>
      <c r="E22" s="256" t="s">
        <v>92</v>
      </c>
      <c r="F22" s="4">
        <v>9</v>
      </c>
      <c r="G22" s="155" t="s">
        <v>316</v>
      </c>
      <c r="H22" s="19">
        <f>10806086</f>
        <v>10806086</v>
      </c>
      <c r="I22" s="19"/>
      <c r="J22" s="8">
        <v>44309</v>
      </c>
      <c r="K22" s="86" t="s">
        <v>35</v>
      </c>
    </row>
    <row r="23" spans="1:12" ht="39.950000000000003" customHeight="1">
      <c r="A23" s="4"/>
      <c r="B23" s="10"/>
      <c r="C23" s="19"/>
      <c r="D23" s="139"/>
      <c r="E23" s="94"/>
      <c r="F23" s="4">
        <v>10</v>
      </c>
      <c r="G23" s="155" t="s">
        <v>317</v>
      </c>
      <c r="H23" s="19">
        <f>1581243</f>
        <v>1581243</v>
      </c>
      <c r="I23" s="19"/>
      <c r="J23" s="139" t="s">
        <v>35</v>
      </c>
      <c r="K23" s="86" t="s">
        <v>35</v>
      </c>
    </row>
    <row r="24" spans="1:12" ht="39.950000000000003" customHeight="1">
      <c r="A24" s="27"/>
      <c r="B24" s="105"/>
      <c r="C24" s="7"/>
      <c r="D24" s="7"/>
      <c r="E24" s="94"/>
      <c r="F24" s="259">
        <v>11</v>
      </c>
      <c r="G24" s="454" t="s">
        <v>320</v>
      </c>
      <c r="H24" s="455">
        <f>220000</f>
        <v>220000</v>
      </c>
      <c r="I24" s="455"/>
      <c r="J24" s="456" t="s">
        <v>35</v>
      </c>
      <c r="K24" s="87" t="s">
        <v>35</v>
      </c>
    </row>
    <row r="25" spans="1:12" ht="39.950000000000003" customHeight="1">
      <c r="A25" s="27"/>
      <c r="B25" s="105"/>
      <c r="C25" s="7"/>
      <c r="D25" s="7"/>
      <c r="E25" s="94"/>
      <c r="F25" s="107">
        <v>12</v>
      </c>
      <c r="G25" s="154" t="s">
        <v>344</v>
      </c>
      <c r="H25" s="96">
        <f>16770</f>
        <v>16770</v>
      </c>
      <c r="I25" s="96"/>
      <c r="J25" s="71">
        <v>44305</v>
      </c>
      <c r="K25" s="230" t="s">
        <v>64</v>
      </c>
    </row>
    <row r="26" spans="1:12" ht="39.950000000000003" customHeight="1">
      <c r="A26" s="27"/>
      <c r="B26" s="105"/>
      <c r="C26" s="7"/>
      <c r="D26" s="7"/>
      <c r="E26" s="94"/>
      <c r="F26" s="107">
        <v>13</v>
      </c>
      <c r="G26" s="155" t="s">
        <v>345</v>
      </c>
      <c r="H26" s="19">
        <f>4530</f>
        <v>4530</v>
      </c>
      <c r="I26" s="19"/>
      <c r="J26" s="7" t="s">
        <v>35</v>
      </c>
      <c r="K26" s="85" t="s">
        <v>35</v>
      </c>
    </row>
    <row r="27" spans="1:12" ht="39.950000000000003" customHeight="1">
      <c r="A27" s="27"/>
      <c r="B27" s="105"/>
      <c r="C27" s="7"/>
      <c r="D27" s="7"/>
      <c r="E27" s="94"/>
      <c r="F27" s="107">
        <v>14</v>
      </c>
      <c r="G27" s="155" t="s">
        <v>346</v>
      </c>
      <c r="H27" s="19">
        <f>7620</f>
        <v>7620</v>
      </c>
      <c r="I27" s="96"/>
      <c r="J27" s="71">
        <v>44306</v>
      </c>
      <c r="K27" s="86" t="s">
        <v>35</v>
      </c>
    </row>
    <row r="28" spans="1:12" ht="39.950000000000003" customHeight="1">
      <c r="A28" s="27"/>
      <c r="B28" s="105"/>
      <c r="C28" s="7"/>
      <c r="D28" s="7"/>
      <c r="E28" s="94"/>
      <c r="F28" s="107">
        <v>15</v>
      </c>
      <c r="G28" s="162" t="s">
        <v>347</v>
      </c>
      <c r="H28" s="9">
        <f>21850</f>
        <v>21850</v>
      </c>
      <c r="I28" s="9"/>
      <c r="J28" s="246" t="s">
        <v>35</v>
      </c>
      <c r="K28" s="260"/>
    </row>
    <row r="29" spans="1:12" ht="39.950000000000003" customHeight="1">
      <c r="A29" s="27"/>
      <c r="B29" s="105"/>
      <c r="C29" s="7"/>
      <c r="D29" s="7"/>
      <c r="E29" s="94"/>
      <c r="F29" s="107">
        <v>16</v>
      </c>
      <c r="G29" s="220" t="s">
        <v>348</v>
      </c>
      <c r="H29" s="144">
        <f>11000</f>
        <v>11000</v>
      </c>
      <c r="I29" s="144"/>
      <c r="J29" s="144" t="s">
        <v>35</v>
      </c>
      <c r="K29" s="227"/>
    </row>
    <row r="30" spans="1:12" ht="39.950000000000003" customHeight="1">
      <c r="A30" s="27"/>
      <c r="B30" s="105"/>
      <c r="C30" s="7"/>
      <c r="D30" s="7"/>
      <c r="E30" s="94"/>
      <c r="F30" s="107">
        <v>17</v>
      </c>
      <c r="G30" s="181" t="s">
        <v>349</v>
      </c>
      <c r="H30" s="7">
        <f>15900</f>
        <v>15900</v>
      </c>
      <c r="I30" s="7"/>
      <c r="J30" s="106" t="s">
        <v>35</v>
      </c>
      <c r="K30" s="229"/>
    </row>
    <row r="31" spans="1:12" ht="39.950000000000003" customHeight="1">
      <c r="A31" s="27"/>
      <c r="B31" s="105"/>
      <c r="C31" s="7"/>
      <c r="D31" s="7"/>
      <c r="E31" s="94"/>
      <c r="F31" s="107">
        <v>18</v>
      </c>
      <c r="G31" s="181" t="s">
        <v>350</v>
      </c>
      <c r="H31" s="7">
        <f>22000</f>
        <v>22000</v>
      </c>
      <c r="I31" s="7"/>
      <c r="J31" s="106">
        <v>44307</v>
      </c>
      <c r="K31" s="229"/>
    </row>
    <row r="32" spans="1:12" ht="39.950000000000003" customHeight="1">
      <c r="A32" s="27"/>
      <c r="B32" s="105"/>
      <c r="C32" s="7"/>
      <c r="D32" s="7"/>
      <c r="E32" s="94"/>
      <c r="F32" s="107">
        <v>19</v>
      </c>
      <c r="G32" s="220" t="s">
        <v>351</v>
      </c>
      <c r="H32" s="144">
        <f>613870</f>
        <v>613870</v>
      </c>
      <c r="I32" s="144"/>
      <c r="J32" s="144" t="s">
        <v>35</v>
      </c>
      <c r="K32" s="227"/>
    </row>
    <row r="33" spans="1:11" ht="39.950000000000003" customHeight="1">
      <c r="A33" s="27"/>
      <c r="B33" s="105"/>
      <c r="C33" s="7"/>
      <c r="D33" s="7"/>
      <c r="E33" s="94"/>
      <c r="F33" s="107">
        <v>20</v>
      </c>
      <c r="G33" s="220" t="s">
        <v>284</v>
      </c>
      <c r="H33" s="144">
        <v>330000</v>
      </c>
      <c r="I33" s="144"/>
      <c r="J33" s="144" t="s">
        <v>35</v>
      </c>
      <c r="K33" s="227"/>
    </row>
    <row r="34" spans="1:11" ht="39.950000000000003" customHeight="1">
      <c r="A34" s="27"/>
      <c r="B34" s="105"/>
      <c r="C34" s="7"/>
      <c r="D34" s="7"/>
      <c r="E34" s="94"/>
      <c r="F34" s="107">
        <v>21</v>
      </c>
      <c r="G34" s="220" t="s">
        <v>352</v>
      </c>
      <c r="H34" s="144">
        <v>30099</v>
      </c>
      <c r="I34" s="144"/>
      <c r="J34" s="144" t="s">
        <v>35</v>
      </c>
      <c r="K34" s="227"/>
    </row>
    <row r="35" spans="1:11" ht="39.950000000000003" customHeight="1">
      <c r="A35" s="27"/>
      <c r="B35" s="105"/>
      <c r="C35" s="7"/>
      <c r="D35" s="7"/>
      <c r="E35" s="94"/>
      <c r="F35" s="107">
        <v>22</v>
      </c>
      <c r="G35" s="220" t="s">
        <v>353</v>
      </c>
      <c r="H35" s="144">
        <f>1725000</f>
        <v>1725000</v>
      </c>
      <c r="I35" s="144"/>
      <c r="J35" s="144" t="s">
        <v>35</v>
      </c>
      <c r="K35" s="227"/>
    </row>
    <row r="36" spans="1:11" ht="39.950000000000003" customHeight="1">
      <c r="A36" s="27"/>
      <c r="B36" s="105"/>
      <c r="C36" s="7"/>
      <c r="D36" s="7"/>
      <c r="E36" s="94"/>
      <c r="F36" s="107">
        <v>23</v>
      </c>
      <c r="G36" s="162" t="s">
        <v>354</v>
      </c>
      <c r="H36" s="9">
        <f>21850</f>
        <v>21850</v>
      </c>
      <c r="I36" s="9"/>
      <c r="J36" s="106">
        <v>44308</v>
      </c>
      <c r="K36" s="227"/>
    </row>
    <row r="37" spans="1:11" ht="39.950000000000003" customHeight="1">
      <c r="A37" s="27"/>
      <c r="B37" s="105"/>
      <c r="C37" s="7"/>
      <c r="D37" s="7"/>
      <c r="E37" s="94"/>
      <c r="F37" s="107">
        <v>24</v>
      </c>
      <c r="G37" s="220" t="s">
        <v>355</v>
      </c>
      <c r="H37" s="144">
        <f>12000+19800</f>
        <v>31800</v>
      </c>
      <c r="I37" s="144"/>
      <c r="J37" s="144" t="s">
        <v>35</v>
      </c>
      <c r="K37" s="227"/>
    </row>
    <row r="38" spans="1:11" ht="39.950000000000003" customHeight="1">
      <c r="A38" s="27"/>
      <c r="B38" s="105"/>
      <c r="C38" s="7"/>
      <c r="D38" s="7"/>
      <c r="E38" s="94"/>
      <c r="F38" s="107">
        <v>25</v>
      </c>
      <c r="G38" s="181" t="s">
        <v>356</v>
      </c>
      <c r="H38" s="7">
        <f>3930</f>
        <v>3930</v>
      </c>
      <c r="I38" s="110"/>
      <c r="J38" s="144" t="s">
        <v>35</v>
      </c>
      <c r="K38" s="229"/>
    </row>
    <row r="39" spans="1:11" ht="39.950000000000003" customHeight="1">
      <c r="A39" s="27"/>
      <c r="B39" s="105"/>
      <c r="C39" s="7"/>
      <c r="D39" s="7"/>
      <c r="E39" s="94"/>
      <c r="F39" s="107">
        <v>26</v>
      </c>
      <c r="G39" s="181" t="s">
        <v>357</v>
      </c>
      <c r="H39" s="7">
        <f>3570</f>
        <v>3570</v>
      </c>
      <c r="I39" s="110"/>
      <c r="J39" s="144" t="s">
        <v>35</v>
      </c>
      <c r="K39" s="229"/>
    </row>
    <row r="40" spans="1:11" ht="39.950000000000003" customHeight="1">
      <c r="A40" s="27"/>
      <c r="B40" s="105"/>
      <c r="C40" s="7"/>
      <c r="D40" s="7"/>
      <c r="E40" s="94"/>
      <c r="F40" s="107">
        <v>27</v>
      </c>
      <c r="G40" s="181" t="s">
        <v>358</v>
      </c>
      <c r="H40" s="7">
        <f>134700</f>
        <v>134700</v>
      </c>
      <c r="I40" s="7"/>
      <c r="J40" s="106">
        <v>44309</v>
      </c>
      <c r="K40" s="229"/>
    </row>
    <row r="41" spans="1:11" ht="39.950000000000003" customHeight="1" thickBot="1">
      <c r="A41" s="81"/>
      <c r="B41" s="262"/>
      <c r="C41" s="82"/>
      <c r="D41" s="82"/>
      <c r="E41" s="263"/>
      <c r="F41" s="107">
        <v>28</v>
      </c>
      <c r="G41" s="264" t="s">
        <v>359</v>
      </c>
      <c r="H41" s="110">
        <f>21850</f>
        <v>21850</v>
      </c>
      <c r="I41" s="110"/>
      <c r="J41" s="189" t="s">
        <v>35</v>
      </c>
      <c r="K41" s="261"/>
    </row>
    <row r="42" spans="1:11" ht="39.950000000000003" customHeight="1" thickTop="1" thickBot="1">
      <c r="A42" s="30"/>
      <c r="B42" s="31" t="s">
        <v>72</v>
      </c>
      <c r="C42" s="24">
        <f>SUM(C14:C41)</f>
        <v>91093126</v>
      </c>
      <c r="D42" s="43"/>
      <c r="E42" s="62"/>
      <c r="F42" s="59"/>
      <c r="G42" s="31" t="s">
        <v>72</v>
      </c>
      <c r="H42" s="34">
        <f>SUM(H14:H24)</f>
        <v>15742700</v>
      </c>
      <c r="I42" s="34"/>
      <c r="J42" s="47" t="s">
        <v>73</v>
      </c>
      <c r="K42" s="46"/>
    </row>
    <row r="43" spans="1:11" ht="39.950000000000003" customHeight="1" thickBot="1">
      <c r="A43" s="820" t="s">
        <v>74</v>
      </c>
      <c r="B43" s="821"/>
      <c r="C43" s="821"/>
      <c r="D43" s="821"/>
      <c r="E43" s="821"/>
      <c r="F43" s="821"/>
      <c r="G43" s="821"/>
      <c r="H43" s="691"/>
      <c r="I43" s="691"/>
      <c r="J43" s="11"/>
      <c r="K43" s="11"/>
    </row>
    <row r="44" spans="1:11" ht="39.950000000000003" customHeight="1" thickBot="1">
      <c r="A44" s="851" t="s">
        <v>360</v>
      </c>
      <c r="B44" s="852"/>
      <c r="C44" s="852"/>
      <c r="D44" s="852"/>
      <c r="E44" s="853"/>
      <c r="F44" s="851" t="s">
        <v>361</v>
      </c>
      <c r="G44" s="852"/>
      <c r="H44" s="852"/>
      <c r="I44" s="852"/>
      <c r="J44" s="852"/>
      <c r="K44" s="853"/>
    </row>
    <row r="45" spans="1:11" ht="39.950000000000003" customHeight="1" thickBot="1">
      <c r="A45" s="224" t="s">
        <v>24</v>
      </c>
      <c r="B45" s="225" t="s">
        <v>25</v>
      </c>
      <c r="C45" s="226" t="s">
        <v>108</v>
      </c>
      <c r="D45" s="226" t="s">
        <v>27</v>
      </c>
      <c r="E45" s="692" t="s">
        <v>10</v>
      </c>
      <c r="F45" s="276" t="s">
        <v>24</v>
      </c>
      <c r="G45" s="277" t="s">
        <v>25</v>
      </c>
      <c r="H45" s="278" t="s">
        <v>26</v>
      </c>
      <c r="I45" s="278" t="s">
        <v>200</v>
      </c>
      <c r="J45" s="278" t="s">
        <v>27</v>
      </c>
      <c r="K45" s="279" t="s">
        <v>10</v>
      </c>
    </row>
    <row r="46" spans="1:11" ht="39.950000000000003" customHeight="1" thickTop="1">
      <c r="A46" s="4">
        <v>1</v>
      </c>
      <c r="B46" s="10" t="s">
        <v>204</v>
      </c>
      <c r="C46" s="19">
        <v>16500000</v>
      </c>
      <c r="D46" s="139" t="s">
        <v>140</v>
      </c>
      <c r="E46" s="63"/>
      <c r="F46" s="284">
        <v>1</v>
      </c>
      <c r="G46" s="156" t="s">
        <v>96</v>
      </c>
      <c r="H46" s="274">
        <f>23333340</f>
        <v>23333340</v>
      </c>
      <c r="I46" s="285"/>
      <c r="J46" s="246">
        <v>44312</v>
      </c>
      <c r="K46" s="50" t="s">
        <v>33</v>
      </c>
    </row>
    <row r="47" spans="1:11" ht="39.950000000000003" customHeight="1">
      <c r="A47" s="4">
        <v>2</v>
      </c>
      <c r="B47" s="10" t="s">
        <v>310</v>
      </c>
      <c r="C47" s="19">
        <v>32670000</v>
      </c>
      <c r="D47" s="139" t="s">
        <v>311</v>
      </c>
      <c r="E47" s="63"/>
      <c r="F47" s="191">
        <v>2</v>
      </c>
      <c r="G47" s="181" t="s">
        <v>362</v>
      </c>
      <c r="H47" s="7">
        <v>34417540</v>
      </c>
      <c r="I47" s="139"/>
      <c r="J47" s="7" t="s">
        <v>35</v>
      </c>
      <c r="K47" s="86" t="s">
        <v>35</v>
      </c>
    </row>
    <row r="48" spans="1:11" ht="39.950000000000003" customHeight="1">
      <c r="A48" s="27">
        <v>3</v>
      </c>
      <c r="B48" s="10" t="s">
        <v>363</v>
      </c>
      <c r="C48" s="286">
        <v>6050000</v>
      </c>
      <c r="D48" s="10" t="s">
        <v>364</v>
      </c>
      <c r="E48" s="94"/>
      <c r="F48" s="191">
        <v>3</v>
      </c>
      <c r="G48" s="162" t="s">
        <v>365</v>
      </c>
      <c r="H48" s="283">
        <v>6600000</v>
      </c>
      <c r="I48" s="283"/>
      <c r="J48" s="246">
        <v>44316</v>
      </c>
      <c r="K48" s="86" t="s">
        <v>35</v>
      </c>
    </row>
    <row r="49" spans="1:11" ht="39.950000000000003" customHeight="1">
      <c r="A49" s="4">
        <v>4</v>
      </c>
      <c r="B49" s="10" t="s">
        <v>366</v>
      </c>
      <c r="C49" s="19">
        <v>6545000</v>
      </c>
      <c r="D49" s="139" t="s">
        <v>367</v>
      </c>
      <c r="E49" s="63"/>
      <c r="F49" s="191">
        <v>4</v>
      </c>
      <c r="G49" s="181" t="s">
        <v>368</v>
      </c>
      <c r="H49" s="265">
        <v>1326345</v>
      </c>
      <c r="I49" s="265"/>
      <c r="J49" s="106" t="s">
        <v>35</v>
      </c>
      <c r="K49" s="86" t="s">
        <v>35</v>
      </c>
    </row>
    <row r="50" spans="1:11" ht="39.950000000000003" customHeight="1">
      <c r="A50" s="4">
        <v>5</v>
      </c>
      <c r="B50" s="10" t="s">
        <v>369</v>
      </c>
      <c r="C50" s="19">
        <v>12805000</v>
      </c>
      <c r="D50" s="7" t="s">
        <v>367</v>
      </c>
      <c r="E50" s="63"/>
      <c r="F50" s="191">
        <v>5</v>
      </c>
      <c r="G50" s="181" t="s">
        <v>370</v>
      </c>
      <c r="H50" s="265">
        <f>3686067</f>
        <v>3686067</v>
      </c>
      <c r="I50" s="265"/>
      <c r="J50" s="106" t="s">
        <v>35</v>
      </c>
      <c r="K50" s="86" t="s">
        <v>35</v>
      </c>
    </row>
    <row r="51" spans="1:11" ht="39.950000000000003" customHeight="1">
      <c r="A51" s="4">
        <v>6</v>
      </c>
      <c r="B51" s="10" t="s">
        <v>371</v>
      </c>
      <c r="C51" s="19">
        <v>1145000</v>
      </c>
      <c r="D51" s="7" t="s">
        <v>367</v>
      </c>
      <c r="E51" s="63"/>
      <c r="F51" s="191">
        <v>6</v>
      </c>
      <c r="G51" s="181" t="s">
        <v>372</v>
      </c>
      <c r="H51" s="265">
        <f>1228689</f>
        <v>1228689</v>
      </c>
      <c r="I51" s="265"/>
      <c r="J51" s="106" t="s">
        <v>35</v>
      </c>
      <c r="K51" s="86" t="s">
        <v>35</v>
      </c>
    </row>
    <row r="52" spans="1:11" ht="39.950000000000003" customHeight="1">
      <c r="A52" s="4">
        <v>7</v>
      </c>
      <c r="B52" s="10" t="s">
        <v>373</v>
      </c>
      <c r="C52" s="19">
        <v>47685000</v>
      </c>
      <c r="D52" s="7" t="s">
        <v>140</v>
      </c>
      <c r="E52" s="63"/>
      <c r="F52" s="191">
        <v>7</v>
      </c>
      <c r="G52" s="181" t="s">
        <v>374</v>
      </c>
      <c r="H52" s="265">
        <f>242000*3</f>
        <v>726000</v>
      </c>
      <c r="I52" s="265"/>
      <c r="J52" s="106" t="s">
        <v>35</v>
      </c>
      <c r="K52" s="86" t="s">
        <v>35</v>
      </c>
    </row>
    <row r="53" spans="1:11" ht="39.950000000000003" customHeight="1">
      <c r="A53" s="4">
        <v>8</v>
      </c>
      <c r="B53" s="10" t="s">
        <v>375</v>
      </c>
      <c r="C53" s="19">
        <v>143825000</v>
      </c>
      <c r="D53" s="7" t="s">
        <v>367</v>
      </c>
      <c r="E53" s="63"/>
      <c r="F53" s="191">
        <v>8</v>
      </c>
      <c r="G53" s="181" t="s">
        <v>376</v>
      </c>
      <c r="H53" s="265">
        <v>330000</v>
      </c>
      <c r="I53" s="265"/>
      <c r="J53" s="106" t="s">
        <v>35</v>
      </c>
      <c r="K53" s="86" t="s">
        <v>377</v>
      </c>
    </row>
    <row r="54" spans="1:11" ht="39.950000000000003" customHeight="1">
      <c r="A54" s="4"/>
      <c r="B54" s="10"/>
      <c r="C54" s="19"/>
      <c r="D54" s="7"/>
      <c r="E54" s="63"/>
      <c r="F54" s="191">
        <v>9</v>
      </c>
      <c r="G54" s="181" t="s">
        <v>378</v>
      </c>
      <c r="H54" s="265">
        <f>4400000</f>
        <v>4400000</v>
      </c>
      <c r="I54" s="265"/>
      <c r="J54" s="106" t="s">
        <v>35</v>
      </c>
      <c r="K54" s="86" t="s">
        <v>35</v>
      </c>
    </row>
    <row r="55" spans="1:11" ht="39.950000000000003" customHeight="1">
      <c r="A55" s="4"/>
      <c r="B55" s="10"/>
      <c r="C55" s="19"/>
      <c r="D55" s="7"/>
      <c r="E55" s="63"/>
      <c r="F55" s="191">
        <v>10</v>
      </c>
      <c r="G55" s="181" t="s">
        <v>379</v>
      </c>
      <c r="H55" s="266">
        <v>385000</v>
      </c>
      <c r="I55" s="266"/>
      <c r="J55" s="106" t="s">
        <v>35</v>
      </c>
      <c r="K55" s="86" t="s">
        <v>35</v>
      </c>
    </row>
    <row r="56" spans="1:11" ht="39.950000000000003" customHeight="1">
      <c r="A56" s="4"/>
      <c r="B56" s="10"/>
      <c r="C56" s="19"/>
      <c r="D56" s="7"/>
      <c r="E56" s="63"/>
      <c r="F56" s="191">
        <v>11</v>
      </c>
      <c r="G56" s="155" t="s">
        <v>380</v>
      </c>
      <c r="H56" s="266">
        <f>3850000</f>
        <v>3850000</v>
      </c>
      <c r="I56" s="266"/>
      <c r="J56" s="8" t="s">
        <v>35</v>
      </c>
      <c r="K56" s="86" t="s">
        <v>35</v>
      </c>
    </row>
    <row r="57" spans="1:11" ht="39.950000000000003" customHeight="1">
      <c r="A57" s="4"/>
      <c r="B57" s="10"/>
      <c r="C57" s="19"/>
      <c r="D57" s="7"/>
      <c r="E57" s="63"/>
      <c r="F57" s="191">
        <v>12</v>
      </c>
      <c r="G57" s="181" t="s">
        <v>381</v>
      </c>
      <c r="H57" s="266">
        <f>660000</f>
        <v>660000</v>
      </c>
      <c r="I57" s="266"/>
      <c r="J57" s="106" t="s">
        <v>35</v>
      </c>
      <c r="K57" s="86" t="s">
        <v>35</v>
      </c>
    </row>
    <row r="58" spans="1:11" ht="39.950000000000003" customHeight="1">
      <c r="A58" s="4"/>
      <c r="B58" s="10"/>
      <c r="C58" s="19"/>
      <c r="D58" s="7"/>
      <c r="E58" s="63"/>
      <c r="F58" s="191">
        <v>13</v>
      </c>
      <c r="G58" s="155" t="s">
        <v>382</v>
      </c>
      <c r="H58" s="266">
        <v>9361000</v>
      </c>
      <c r="I58" s="266"/>
      <c r="J58" s="8" t="s">
        <v>35</v>
      </c>
      <c r="K58" s="86" t="s">
        <v>35</v>
      </c>
    </row>
    <row r="59" spans="1:11" ht="39.950000000000003" customHeight="1">
      <c r="A59" s="4"/>
      <c r="B59" s="10"/>
      <c r="C59" s="19"/>
      <c r="D59" s="7"/>
      <c r="E59" s="63"/>
      <c r="F59" s="191">
        <v>14</v>
      </c>
      <c r="G59" s="205" t="s">
        <v>383</v>
      </c>
      <c r="H59" s="266">
        <v>3234000</v>
      </c>
      <c r="I59" s="266"/>
      <c r="J59" s="8" t="s">
        <v>35</v>
      </c>
      <c r="K59" s="86" t="s">
        <v>35</v>
      </c>
    </row>
    <row r="60" spans="1:11" ht="39.950000000000003" customHeight="1">
      <c r="A60" s="4"/>
      <c r="B60" s="10"/>
      <c r="C60" s="19"/>
      <c r="D60" s="7"/>
      <c r="E60" s="63"/>
      <c r="F60" s="191">
        <v>15</v>
      </c>
      <c r="G60" s="205" t="s">
        <v>384</v>
      </c>
      <c r="H60" s="266">
        <f>940500</f>
        <v>940500</v>
      </c>
      <c r="I60" s="266"/>
      <c r="J60" s="8" t="s">
        <v>35</v>
      </c>
      <c r="K60" s="86" t="s">
        <v>35</v>
      </c>
    </row>
    <row r="61" spans="1:11" ht="39.950000000000003" customHeight="1">
      <c r="A61" s="4"/>
      <c r="B61" s="10"/>
      <c r="C61" s="19"/>
      <c r="D61" s="7"/>
      <c r="E61" s="63"/>
      <c r="F61" s="191">
        <v>16</v>
      </c>
      <c r="G61" s="205" t="s">
        <v>385</v>
      </c>
      <c r="H61" s="266">
        <v>176000</v>
      </c>
      <c r="I61" s="266"/>
      <c r="J61" s="8" t="s">
        <v>35</v>
      </c>
      <c r="K61" s="86" t="s">
        <v>35</v>
      </c>
    </row>
    <row r="62" spans="1:11" ht="39.950000000000003" customHeight="1">
      <c r="A62" s="4"/>
      <c r="B62" s="10"/>
      <c r="C62" s="19"/>
      <c r="D62" s="7"/>
      <c r="E62" s="63"/>
      <c r="F62" s="191">
        <v>17</v>
      </c>
      <c r="G62" s="273" t="s">
        <v>386</v>
      </c>
      <c r="H62" s="274">
        <f>1573000</f>
        <v>1573000</v>
      </c>
      <c r="I62" s="267"/>
      <c r="J62" s="8" t="s">
        <v>35</v>
      </c>
      <c r="K62" s="86" t="s">
        <v>35</v>
      </c>
    </row>
    <row r="63" spans="1:11" ht="39.950000000000003" customHeight="1">
      <c r="A63" s="4"/>
      <c r="B63" s="10"/>
      <c r="C63" s="19"/>
      <c r="D63" s="7"/>
      <c r="E63" s="63"/>
      <c r="F63" s="191">
        <v>18</v>
      </c>
      <c r="G63" s="273" t="s">
        <v>387</v>
      </c>
      <c r="H63" s="274">
        <v>2970000</v>
      </c>
      <c r="I63" s="267"/>
      <c r="J63" s="8" t="s">
        <v>35</v>
      </c>
      <c r="K63" s="86" t="s">
        <v>35</v>
      </c>
    </row>
    <row r="64" spans="1:11" ht="39.950000000000003" customHeight="1">
      <c r="A64" s="4"/>
      <c r="B64" s="10"/>
      <c r="C64" s="19"/>
      <c r="D64" s="7"/>
      <c r="E64" s="63"/>
      <c r="F64" s="191">
        <v>19</v>
      </c>
      <c r="G64" s="273" t="s">
        <v>388</v>
      </c>
      <c r="H64" s="274">
        <v>100000</v>
      </c>
      <c r="I64" s="267"/>
      <c r="J64" s="8" t="s">
        <v>35</v>
      </c>
      <c r="K64" s="86" t="s">
        <v>35</v>
      </c>
    </row>
    <row r="65" spans="1:11" ht="39.950000000000003" customHeight="1">
      <c r="A65" s="4"/>
      <c r="B65" s="10"/>
      <c r="C65" s="19"/>
      <c r="D65" s="7"/>
      <c r="E65" s="63"/>
      <c r="F65" s="191">
        <v>20</v>
      </c>
      <c r="G65" s="209" t="s">
        <v>389</v>
      </c>
      <c r="H65" s="266">
        <f>1200000</f>
        <v>1200000</v>
      </c>
      <c r="I65" s="159">
        <f>H65-(H65*3.3%)</f>
        <v>1160400</v>
      </c>
      <c r="J65" s="8" t="s">
        <v>35</v>
      </c>
      <c r="K65" s="86" t="s">
        <v>35</v>
      </c>
    </row>
    <row r="66" spans="1:11" ht="39.950000000000003" customHeight="1">
      <c r="A66" s="4"/>
      <c r="B66" s="10"/>
      <c r="C66" s="19"/>
      <c r="D66" s="7"/>
      <c r="E66" s="63"/>
      <c r="F66" s="191">
        <v>21</v>
      </c>
      <c r="G66" s="181" t="s">
        <v>390</v>
      </c>
      <c r="H66" s="266">
        <v>23960280</v>
      </c>
      <c r="I66" s="266"/>
      <c r="J66" s="106" t="s">
        <v>35</v>
      </c>
      <c r="K66" s="229" t="s">
        <v>35</v>
      </c>
    </row>
    <row r="67" spans="1:11" ht="39.950000000000003" customHeight="1">
      <c r="A67" s="4"/>
      <c r="B67" s="10"/>
      <c r="C67" s="19"/>
      <c r="D67" s="7"/>
      <c r="E67" s="63"/>
      <c r="F67" s="191">
        <v>22</v>
      </c>
      <c r="G67" s="155" t="s">
        <v>391</v>
      </c>
      <c r="H67" s="67">
        <v>3500000</v>
      </c>
      <c r="I67" s="266"/>
      <c r="J67" s="106" t="s">
        <v>35</v>
      </c>
      <c r="K67" s="229" t="s">
        <v>35</v>
      </c>
    </row>
    <row r="68" spans="1:11" ht="39.950000000000003" customHeight="1">
      <c r="A68" s="4"/>
      <c r="B68" s="10"/>
      <c r="C68" s="19"/>
      <c r="D68" s="7"/>
      <c r="E68" s="63"/>
      <c r="F68" s="191">
        <v>23</v>
      </c>
      <c r="G68" s="181" t="s">
        <v>392</v>
      </c>
      <c r="H68" s="266">
        <f>1410000</f>
        <v>1410000</v>
      </c>
      <c r="I68" s="266"/>
      <c r="J68" s="106" t="s">
        <v>35</v>
      </c>
      <c r="K68" s="229" t="s">
        <v>35</v>
      </c>
    </row>
    <row r="69" spans="1:11" ht="39.950000000000003" customHeight="1">
      <c r="A69" s="4"/>
      <c r="B69" s="10"/>
      <c r="C69" s="19"/>
      <c r="D69" s="7"/>
      <c r="E69" s="63"/>
      <c r="F69" s="191">
        <v>24</v>
      </c>
      <c r="G69" s="271" t="s">
        <v>152</v>
      </c>
      <c r="H69" s="268">
        <f>130930+147630</f>
        <v>278560</v>
      </c>
      <c r="I69" s="268"/>
      <c r="J69" s="272" t="s">
        <v>35</v>
      </c>
      <c r="K69" s="287" t="s">
        <v>35</v>
      </c>
    </row>
    <row r="70" spans="1:11" ht="39.950000000000003" customHeight="1">
      <c r="A70" s="4"/>
      <c r="B70" s="10"/>
      <c r="C70" s="19"/>
      <c r="D70" s="7"/>
      <c r="E70" s="63"/>
      <c r="F70" s="191">
        <v>25</v>
      </c>
      <c r="G70" s="280" t="s">
        <v>393</v>
      </c>
      <c r="H70" s="281">
        <f>1210000</f>
        <v>1210000</v>
      </c>
      <c r="I70" s="281"/>
      <c r="J70" s="106">
        <v>44316</v>
      </c>
      <c r="K70" s="282"/>
    </row>
    <row r="71" spans="1:11" ht="39.950000000000003" customHeight="1">
      <c r="A71" s="4"/>
      <c r="B71" s="10"/>
      <c r="C71" s="19"/>
      <c r="D71" s="7"/>
      <c r="E71" s="63"/>
      <c r="F71" s="191">
        <v>26</v>
      </c>
      <c r="G71" s="296" t="s">
        <v>394</v>
      </c>
      <c r="H71" s="281">
        <f>32000+33100</f>
        <v>65100</v>
      </c>
      <c r="I71" s="281"/>
      <c r="J71" s="7" t="s">
        <v>35</v>
      </c>
      <c r="K71" s="282"/>
    </row>
    <row r="72" spans="1:11" ht="39.950000000000003" customHeight="1">
      <c r="A72" s="4"/>
      <c r="B72" s="10"/>
      <c r="C72" s="19"/>
      <c r="D72" s="7"/>
      <c r="E72" s="63"/>
      <c r="F72" s="191">
        <v>27</v>
      </c>
      <c r="G72" s="296" t="s">
        <v>395</v>
      </c>
      <c r="H72" s="297">
        <f>37000</f>
        <v>37000</v>
      </c>
      <c r="I72" s="297"/>
      <c r="J72" s="82" t="s">
        <v>35</v>
      </c>
      <c r="K72" s="298"/>
    </row>
    <row r="73" spans="1:11" ht="39.950000000000003" customHeight="1">
      <c r="A73" s="107"/>
      <c r="B73" s="108"/>
      <c r="C73" s="109"/>
      <c r="D73" s="110"/>
      <c r="E73" s="111"/>
      <c r="F73" s="191">
        <v>28</v>
      </c>
      <c r="G73" s="155" t="s">
        <v>396</v>
      </c>
      <c r="H73" s="269">
        <f>48000</f>
        <v>48000</v>
      </c>
      <c r="I73" s="269"/>
      <c r="J73" s="7" t="s">
        <v>35</v>
      </c>
      <c r="K73" s="86"/>
    </row>
    <row r="74" spans="1:11" ht="39.950000000000003" customHeight="1">
      <c r="A74" s="107"/>
      <c r="B74" s="108"/>
      <c r="C74" s="109"/>
      <c r="D74" s="110"/>
      <c r="E74" s="111"/>
      <c r="F74" s="191">
        <v>29</v>
      </c>
      <c r="G74" s="155" t="s">
        <v>397</v>
      </c>
      <c r="H74" s="269">
        <f>24000</f>
        <v>24000</v>
      </c>
      <c r="I74" s="269"/>
      <c r="J74" s="7"/>
      <c r="K74" s="86"/>
    </row>
    <row r="75" spans="1:11" ht="39.950000000000003" customHeight="1">
      <c r="A75" s="107"/>
      <c r="B75" s="108"/>
      <c r="C75" s="109"/>
      <c r="D75" s="110"/>
      <c r="E75" s="111"/>
      <c r="F75" s="191">
        <v>30</v>
      </c>
      <c r="G75" s="155" t="s">
        <v>398</v>
      </c>
      <c r="H75" s="269">
        <f>45000</f>
        <v>45000</v>
      </c>
      <c r="I75" s="269"/>
      <c r="J75" s="7"/>
      <c r="K75" s="86"/>
    </row>
    <row r="76" spans="1:11" ht="39.950000000000003" customHeight="1">
      <c r="A76" s="107"/>
      <c r="B76" s="108"/>
      <c r="C76" s="109"/>
      <c r="D76" s="110"/>
      <c r="E76" s="111"/>
      <c r="F76" s="191">
        <v>31</v>
      </c>
      <c r="G76" s="155" t="s">
        <v>399</v>
      </c>
      <c r="H76" s="269">
        <f>47000</f>
        <v>47000</v>
      </c>
      <c r="I76" s="269"/>
      <c r="J76" s="7"/>
      <c r="K76" s="86"/>
    </row>
    <row r="77" spans="1:11" ht="39.950000000000003" customHeight="1">
      <c r="A77" s="107"/>
      <c r="B77" s="108"/>
      <c r="C77" s="109"/>
      <c r="D77" s="110"/>
      <c r="E77" s="111"/>
      <c r="F77" s="191">
        <v>32</v>
      </c>
      <c r="G77" s="155" t="s">
        <v>400</v>
      </c>
      <c r="H77" s="269">
        <f>7000</f>
        <v>7000</v>
      </c>
      <c r="I77" s="269"/>
      <c r="J77" s="7"/>
      <c r="K77" s="86"/>
    </row>
    <row r="78" spans="1:11" ht="39.950000000000003" customHeight="1">
      <c r="A78" s="107"/>
      <c r="B78" s="108"/>
      <c r="C78" s="109"/>
      <c r="D78" s="110"/>
      <c r="E78" s="111"/>
      <c r="F78" s="191">
        <v>33</v>
      </c>
      <c r="G78" s="155" t="s">
        <v>401</v>
      </c>
      <c r="H78" s="269">
        <f>24000+381000</f>
        <v>405000</v>
      </c>
      <c r="I78" s="269"/>
      <c r="J78" s="7"/>
      <c r="K78" s="86"/>
    </row>
    <row r="79" spans="1:11" ht="39.950000000000003" customHeight="1">
      <c r="A79" s="107"/>
      <c r="B79" s="108"/>
      <c r="C79" s="109"/>
      <c r="D79" s="110"/>
      <c r="E79" s="111"/>
      <c r="F79" s="191">
        <v>34</v>
      </c>
      <c r="G79" s="155" t="s">
        <v>402</v>
      </c>
      <c r="H79" s="269">
        <f>90600</f>
        <v>90600</v>
      </c>
      <c r="I79" s="269"/>
      <c r="J79" s="7"/>
      <c r="K79" s="86"/>
    </row>
    <row r="80" spans="1:11" ht="39.950000000000003" customHeight="1">
      <c r="A80" s="107"/>
      <c r="B80" s="108"/>
      <c r="C80" s="109"/>
      <c r="D80" s="110"/>
      <c r="E80" s="111"/>
      <c r="F80" s="191">
        <v>35</v>
      </c>
      <c r="G80" s="155" t="s">
        <v>403</v>
      </c>
      <c r="H80" s="269">
        <f>32000+55500</f>
        <v>87500</v>
      </c>
      <c r="I80" s="269"/>
      <c r="J80" s="7"/>
      <c r="K80" s="86"/>
    </row>
    <row r="81" spans="1:11" ht="39.950000000000003" customHeight="1">
      <c r="A81" s="107"/>
      <c r="B81" s="108"/>
      <c r="C81" s="109"/>
      <c r="D81" s="110"/>
      <c r="E81" s="111"/>
      <c r="F81" s="191">
        <v>36</v>
      </c>
      <c r="G81" s="155" t="s">
        <v>404</v>
      </c>
      <c r="H81" s="269">
        <f>17900</f>
        <v>17900</v>
      </c>
      <c r="I81" s="269"/>
      <c r="J81" s="7"/>
      <c r="K81" s="86"/>
    </row>
    <row r="82" spans="1:11" ht="39.950000000000003" customHeight="1">
      <c r="A82" s="107"/>
      <c r="B82" s="108"/>
      <c r="C82" s="109"/>
      <c r="D82" s="110"/>
      <c r="E82" s="111"/>
      <c r="F82" s="191">
        <v>37</v>
      </c>
      <c r="G82" s="155" t="s">
        <v>405</v>
      </c>
      <c r="H82" s="269">
        <f>11800</f>
        <v>11800</v>
      </c>
      <c r="I82" s="269"/>
      <c r="J82" s="7"/>
      <c r="K82" s="86"/>
    </row>
    <row r="83" spans="1:11" ht="39.950000000000003" customHeight="1">
      <c r="A83" s="107"/>
      <c r="B83" s="108"/>
      <c r="C83" s="109"/>
      <c r="D83" s="110"/>
      <c r="E83" s="111"/>
      <c r="F83" s="191">
        <v>38</v>
      </c>
      <c r="G83" s="155" t="s">
        <v>406</v>
      </c>
      <c r="H83" s="269">
        <f>138600</f>
        <v>138600</v>
      </c>
      <c r="I83" s="269"/>
      <c r="J83" s="7"/>
      <c r="K83" s="86"/>
    </row>
    <row r="84" spans="1:11" ht="39.950000000000003" customHeight="1">
      <c r="A84" s="107"/>
      <c r="B84" s="108"/>
      <c r="C84" s="109"/>
      <c r="D84" s="110"/>
      <c r="E84" s="111"/>
      <c r="F84" s="191">
        <v>39</v>
      </c>
      <c r="G84" s="219" t="s">
        <v>407</v>
      </c>
      <c r="H84" s="301">
        <f>10690</f>
        <v>10690</v>
      </c>
      <c r="I84" s="301"/>
      <c r="J84" s="119"/>
      <c r="K84" s="228"/>
    </row>
    <row r="85" spans="1:11" ht="39.950000000000003" customHeight="1">
      <c r="A85" s="4"/>
      <c r="B85" s="10"/>
      <c r="C85" s="19"/>
      <c r="D85" s="7"/>
      <c r="E85" s="63"/>
      <c r="F85" s="191">
        <v>40</v>
      </c>
      <c r="G85" s="154" t="s">
        <v>319</v>
      </c>
      <c r="H85" s="270">
        <f>300300</f>
        <v>300300</v>
      </c>
      <c r="I85" s="270"/>
      <c r="J85" s="71">
        <v>44312</v>
      </c>
      <c r="K85" s="85" t="s">
        <v>61</v>
      </c>
    </row>
    <row r="86" spans="1:11" ht="39.950000000000003" customHeight="1">
      <c r="A86" s="4"/>
      <c r="B86" s="10"/>
      <c r="C86" s="19"/>
      <c r="D86" s="7"/>
      <c r="E86" s="63"/>
      <c r="F86" s="191">
        <v>41</v>
      </c>
      <c r="G86" s="155" t="s">
        <v>321</v>
      </c>
      <c r="H86" s="269">
        <f>107400</f>
        <v>107400</v>
      </c>
      <c r="I86" s="269"/>
      <c r="J86" s="7" t="s">
        <v>35</v>
      </c>
      <c r="K86" s="85" t="s">
        <v>35</v>
      </c>
    </row>
    <row r="87" spans="1:11" ht="39.950000000000003" customHeight="1">
      <c r="A87" s="4"/>
      <c r="B87" s="10"/>
      <c r="C87" s="19"/>
      <c r="D87" s="7"/>
      <c r="E87" s="63"/>
      <c r="F87" s="191">
        <v>42</v>
      </c>
      <c r="G87" s="156" t="s">
        <v>322</v>
      </c>
      <c r="H87" s="275">
        <f>32900</f>
        <v>32900</v>
      </c>
      <c r="I87" s="275"/>
      <c r="J87" s="82" t="s">
        <v>35</v>
      </c>
      <c r="K87" s="58" t="s">
        <v>35</v>
      </c>
    </row>
    <row r="88" spans="1:11" ht="39.950000000000003" customHeight="1">
      <c r="A88" s="4"/>
      <c r="B88" s="10"/>
      <c r="C88" s="19"/>
      <c r="D88" s="7"/>
      <c r="E88" s="63"/>
      <c r="F88" s="191">
        <v>43</v>
      </c>
      <c r="G88" s="302" t="s">
        <v>151</v>
      </c>
      <c r="H88" s="303">
        <f>4160000+20856</f>
        <v>4180856</v>
      </c>
      <c r="I88" s="303"/>
      <c r="J88" s="304">
        <v>44319</v>
      </c>
      <c r="K88" s="305" t="s">
        <v>35</v>
      </c>
    </row>
    <row r="89" spans="1:11" ht="39.950000000000003" customHeight="1">
      <c r="A89" s="107"/>
      <c r="B89" s="108"/>
      <c r="C89" s="109"/>
      <c r="D89" s="110"/>
      <c r="E89" s="111"/>
      <c r="F89" s="191">
        <v>44</v>
      </c>
      <c r="G89" s="154" t="s">
        <v>408</v>
      </c>
      <c r="H89" s="270">
        <f>220730</f>
        <v>220730</v>
      </c>
      <c r="I89" s="270"/>
      <c r="J89" s="9"/>
      <c r="K89" s="85"/>
    </row>
    <row r="90" spans="1:11" ht="39.950000000000003" customHeight="1">
      <c r="A90" s="107"/>
      <c r="B90" s="108"/>
      <c r="C90" s="109"/>
      <c r="D90" s="110"/>
      <c r="E90" s="111"/>
      <c r="F90" s="191">
        <v>45</v>
      </c>
      <c r="G90" s="155" t="s">
        <v>409</v>
      </c>
      <c r="H90" s="269">
        <v>232000</v>
      </c>
      <c r="I90" s="269"/>
      <c r="J90" s="7"/>
      <c r="K90" s="86"/>
    </row>
    <row r="91" spans="1:11" ht="39.950000000000003" customHeight="1">
      <c r="A91" s="107"/>
      <c r="B91" s="108"/>
      <c r="C91" s="109"/>
      <c r="D91" s="110"/>
      <c r="E91" s="111"/>
      <c r="F91" s="191">
        <v>46</v>
      </c>
      <c r="G91" s="155" t="s">
        <v>410</v>
      </c>
      <c r="H91" s="269">
        <v>14060374</v>
      </c>
      <c r="I91" s="269"/>
      <c r="J91" s="7"/>
      <c r="K91" s="86"/>
    </row>
    <row r="92" spans="1:11" ht="39.950000000000003" customHeight="1" thickBot="1">
      <c r="A92" s="107"/>
      <c r="B92" s="108"/>
      <c r="C92" s="109"/>
      <c r="D92" s="110"/>
      <c r="E92" s="111"/>
      <c r="F92" s="191">
        <v>47</v>
      </c>
      <c r="G92" s="155" t="s">
        <v>411</v>
      </c>
      <c r="H92" s="299">
        <v>83900</v>
      </c>
      <c r="I92" s="299"/>
      <c r="J92" s="177"/>
      <c r="K92" s="300"/>
    </row>
    <row r="93" spans="1:11" ht="39.950000000000003" customHeight="1" thickTop="1" thickBot="1">
      <c r="A93" s="30"/>
      <c r="B93" s="31" t="s">
        <v>72</v>
      </c>
      <c r="C93" s="34">
        <f>SUM(C49:C72)</f>
        <v>212005000</v>
      </c>
      <c r="D93" s="43"/>
      <c r="E93" s="62"/>
      <c r="F93" s="30"/>
      <c r="G93" s="31" t="s">
        <v>72</v>
      </c>
      <c r="H93" s="34">
        <f>SUM(H46:H88)</f>
        <v>136512967</v>
      </c>
      <c r="I93" s="34">
        <f>SUM(H46:H64,I65,H66:H88)</f>
        <v>136473367</v>
      </c>
      <c r="J93" s="47" t="s">
        <v>73</v>
      </c>
      <c r="K93" s="62"/>
    </row>
    <row r="94" spans="1:11" ht="39.950000000000003" customHeight="1">
      <c r="A94" s="2"/>
      <c r="B94" s="2"/>
      <c r="C94" s="2"/>
      <c r="D94" s="2"/>
      <c r="E94" s="2"/>
      <c r="F94" s="2"/>
      <c r="G94" s="2"/>
      <c r="H94" s="2"/>
      <c r="I94" s="2"/>
      <c r="J94" s="3"/>
      <c r="K94" s="3"/>
    </row>
  </sheetData>
  <mergeCells count="17">
    <mergeCell ref="A2:K3"/>
    <mergeCell ref="A5:J5"/>
    <mergeCell ref="A6:G6"/>
    <mergeCell ref="A7:B7"/>
    <mergeCell ref="C7:E7"/>
    <mergeCell ref="F7:G7"/>
    <mergeCell ref="H7:K7"/>
    <mergeCell ref="A43:G43"/>
    <mergeCell ref="A44:E44"/>
    <mergeCell ref="F44:K44"/>
    <mergeCell ref="A8:B9"/>
    <mergeCell ref="C8:E9"/>
    <mergeCell ref="F8:G9"/>
    <mergeCell ref="H8:K9"/>
    <mergeCell ref="A11:G11"/>
    <mergeCell ref="A12:E12"/>
    <mergeCell ref="F12:K12"/>
  </mergeCells>
  <phoneticPr fontId="2" type="noConversion"/>
  <pageMargins left="0.19685039370078741" right="0" top="0.39370078740157483" bottom="0" header="0.31496062992125984" footer="0.31496062992125984"/>
  <pageSetup paperSize="9" scale="37" orientation="portrait" r:id="rId1"/>
  <rowBreaks count="1" manualBreakCount="1">
    <brk id="42" max="10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DD3FD-E895-4622-BCA4-3630A3C1A535}">
  <sheetPr>
    <tabColor rgb="FF00B0F0"/>
  </sheetPr>
  <dimension ref="A1:L111"/>
  <sheetViews>
    <sheetView view="pageBreakPreview" topLeftCell="A70" zoomScale="85" zoomScaleNormal="100" zoomScaleSheetLayoutView="85" workbookViewId="0">
      <selection activeCell="J81" sqref="J81"/>
    </sheetView>
  </sheetViews>
  <sheetFormatPr defaultRowHeight="16.5"/>
  <cols>
    <col min="1" max="1" width="4.5" customWidth="1"/>
    <col min="2" max="2" width="54.5" customWidth="1"/>
    <col min="3" max="4" width="17.125" customWidth="1"/>
    <col min="5" max="5" width="23.25" customWidth="1"/>
    <col min="6" max="6" width="4.5" customWidth="1"/>
    <col min="7" max="7" width="62.375" customWidth="1"/>
    <col min="8" max="9" width="17.25" customWidth="1"/>
    <col min="10" max="10" width="17.25" style="13" customWidth="1"/>
    <col min="11" max="11" width="27.5" style="13" customWidth="1"/>
  </cols>
  <sheetData>
    <row r="1" spans="1:12" ht="36.75" customHeight="1"/>
    <row r="2" spans="1:12" ht="21.95" customHeight="1">
      <c r="A2" s="811" t="s">
        <v>14</v>
      </c>
      <c r="B2" s="811"/>
      <c r="C2" s="811"/>
      <c r="D2" s="811"/>
      <c r="E2" s="811"/>
      <c r="F2" s="811"/>
      <c r="G2" s="811"/>
      <c r="H2" s="811"/>
      <c r="I2" s="811"/>
      <c r="J2" s="811"/>
      <c r="K2" s="811"/>
    </row>
    <row r="3" spans="1:12" ht="12" customHeight="1">
      <c r="A3" s="811"/>
      <c r="B3" s="811"/>
      <c r="C3" s="811"/>
      <c r="D3" s="811"/>
      <c r="E3" s="811"/>
      <c r="F3" s="811"/>
      <c r="G3" s="811"/>
      <c r="H3" s="811"/>
      <c r="I3" s="811"/>
      <c r="J3" s="811"/>
      <c r="K3" s="811"/>
    </row>
    <row r="4" spans="1:12" ht="21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2" ht="18" customHeight="1">
      <c r="A5" s="818" t="s">
        <v>412</v>
      </c>
      <c r="B5" s="818"/>
      <c r="C5" s="818"/>
      <c r="D5" s="818"/>
      <c r="E5" s="818"/>
      <c r="F5" s="818"/>
      <c r="G5" s="818"/>
      <c r="H5" s="818"/>
      <c r="I5" s="818"/>
      <c r="J5" s="818"/>
      <c r="K5" s="689"/>
    </row>
    <row r="6" spans="1:12" ht="18" customHeight="1" thickBot="1">
      <c r="A6" s="818" t="s">
        <v>16</v>
      </c>
      <c r="B6" s="819"/>
      <c r="C6" s="819"/>
      <c r="D6" s="819"/>
      <c r="E6" s="819"/>
      <c r="F6" s="819"/>
      <c r="G6" s="819"/>
      <c r="H6" s="690"/>
      <c r="I6" s="690"/>
      <c r="J6" s="3"/>
      <c r="K6" s="3"/>
    </row>
    <row r="7" spans="1:12" ht="27.75" customHeight="1" thickBot="1">
      <c r="A7" s="843" t="s">
        <v>17</v>
      </c>
      <c r="B7" s="844"/>
      <c r="C7" s="837" t="s">
        <v>18</v>
      </c>
      <c r="D7" s="828"/>
      <c r="E7" s="838"/>
      <c r="F7" s="837" t="s">
        <v>19</v>
      </c>
      <c r="G7" s="838"/>
      <c r="H7" s="828" t="s">
        <v>20</v>
      </c>
      <c r="I7" s="828"/>
      <c r="J7" s="828"/>
      <c r="K7" s="829"/>
    </row>
    <row r="8" spans="1:12" ht="18" customHeight="1" thickTop="1" thickBot="1">
      <c r="A8" s="824">
        <v>59946473.01700002</v>
      </c>
      <c r="B8" s="825"/>
      <c r="C8" s="812">
        <f>C72</f>
        <v>164645000</v>
      </c>
      <c r="D8" s="813"/>
      <c r="E8" s="814"/>
      <c r="F8" s="839">
        <f>SUM(I72)</f>
        <v>133792681</v>
      </c>
      <c r="G8" s="840"/>
      <c r="H8" s="830">
        <f>SUM(A8:E9)-F8</f>
        <v>90798792.01700002</v>
      </c>
      <c r="I8" s="830"/>
      <c r="J8" s="830"/>
      <c r="K8" s="831"/>
    </row>
    <row r="9" spans="1:12" ht="22.5" customHeight="1" thickTop="1" thickBot="1">
      <c r="A9" s="826"/>
      <c r="B9" s="827"/>
      <c r="C9" s="815"/>
      <c r="D9" s="816"/>
      <c r="E9" s="817"/>
      <c r="F9" s="841"/>
      <c r="G9" s="842"/>
      <c r="H9" s="832"/>
      <c r="I9" s="832"/>
      <c r="J9" s="832"/>
      <c r="K9" s="833"/>
    </row>
    <row r="10" spans="1:12" ht="18" customHeight="1">
      <c r="A10" s="689"/>
      <c r="B10" s="690"/>
      <c r="C10" s="690"/>
      <c r="D10" s="690"/>
      <c r="E10" s="690"/>
      <c r="F10" s="690"/>
      <c r="G10" s="690"/>
      <c r="H10" s="690"/>
      <c r="I10" s="690"/>
      <c r="J10" s="23"/>
      <c r="K10" s="23"/>
    </row>
    <row r="11" spans="1:12" ht="32.25" customHeight="1" thickBot="1">
      <c r="A11" s="818" t="s">
        <v>21</v>
      </c>
      <c r="B11" s="819"/>
      <c r="C11" s="819"/>
      <c r="D11" s="819"/>
      <c r="E11" s="819"/>
      <c r="F11" s="819"/>
      <c r="G11" s="819"/>
      <c r="H11" s="690"/>
      <c r="I11" s="690"/>
      <c r="J11" s="3"/>
      <c r="K11" s="3"/>
    </row>
    <row r="12" spans="1:12" ht="39.950000000000003" customHeight="1">
      <c r="A12" s="834" t="s">
        <v>413</v>
      </c>
      <c r="B12" s="835"/>
      <c r="C12" s="835"/>
      <c r="D12" s="835"/>
      <c r="E12" s="836"/>
      <c r="F12" s="834" t="s">
        <v>414</v>
      </c>
      <c r="G12" s="835"/>
      <c r="H12" s="835"/>
      <c r="I12" s="835"/>
      <c r="J12" s="835"/>
      <c r="K12" s="836"/>
    </row>
    <row r="13" spans="1:12" ht="39.950000000000003" customHeight="1" thickBot="1">
      <c r="A13" s="25" t="s">
        <v>24</v>
      </c>
      <c r="B13" s="28" t="s">
        <v>25</v>
      </c>
      <c r="C13" s="26" t="s">
        <v>108</v>
      </c>
      <c r="D13" s="26" t="s">
        <v>27</v>
      </c>
      <c r="E13" s="48" t="s">
        <v>10</v>
      </c>
      <c r="F13" s="25" t="s">
        <v>24</v>
      </c>
      <c r="G13" s="28" t="s">
        <v>25</v>
      </c>
      <c r="H13" s="26" t="s">
        <v>26</v>
      </c>
      <c r="I13" s="26"/>
      <c r="J13" s="26" t="s">
        <v>27</v>
      </c>
      <c r="K13" s="48" t="s">
        <v>10</v>
      </c>
    </row>
    <row r="14" spans="1:12" ht="39.950000000000003" customHeight="1" thickTop="1">
      <c r="A14" s="4">
        <v>1</v>
      </c>
      <c r="B14" s="10" t="s">
        <v>363</v>
      </c>
      <c r="C14" s="286">
        <v>6050000</v>
      </c>
      <c r="D14" s="10" t="s">
        <v>415</v>
      </c>
      <c r="E14" s="315" t="s">
        <v>30</v>
      </c>
      <c r="F14" s="49">
        <v>1</v>
      </c>
      <c r="G14" s="311" t="s">
        <v>96</v>
      </c>
      <c r="H14" s="307">
        <f>23333340</f>
        <v>23333340</v>
      </c>
      <c r="I14" s="308"/>
      <c r="J14" s="309">
        <v>44312</v>
      </c>
      <c r="K14" s="310" t="s">
        <v>33</v>
      </c>
      <c r="L14" s="6"/>
    </row>
    <row r="15" spans="1:12" ht="39.950000000000003" customHeight="1">
      <c r="A15" s="77">
        <v>2</v>
      </c>
      <c r="B15" s="21" t="s">
        <v>371</v>
      </c>
      <c r="C15" s="80">
        <v>1145000</v>
      </c>
      <c r="D15" s="255" t="s">
        <v>416</v>
      </c>
      <c r="E15" s="312" t="s">
        <v>35</v>
      </c>
      <c r="F15" s="27">
        <v>2</v>
      </c>
      <c r="G15" s="181" t="s">
        <v>362</v>
      </c>
      <c r="H15" s="7">
        <v>34417540</v>
      </c>
      <c r="I15" s="139"/>
      <c r="J15" s="7" t="s">
        <v>35</v>
      </c>
      <c r="K15" s="86" t="s">
        <v>35</v>
      </c>
      <c r="L15" s="6"/>
    </row>
    <row r="16" spans="1:12" ht="39.950000000000003" customHeight="1">
      <c r="A16" s="54">
        <v>3</v>
      </c>
      <c r="B16" s="39" t="s">
        <v>375</v>
      </c>
      <c r="C16" s="313">
        <v>143825000</v>
      </c>
      <c r="D16" s="39" t="s">
        <v>35</v>
      </c>
      <c r="E16" s="314" t="s">
        <v>417</v>
      </c>
      <c r="F16" s="27">
        <v>3</v>
      </c>
      <c r="G16" s="181" t="s">
        <v>365</v>
      </c>
      <c r="H16" s="265">
        <v>6600000</v>
      </c>
      <c r="I16" s="265"/>
      <c r="J16" s="106">
        <v>44316</v>
      </c>
      <c r="K16" s="86" t="s">
        <v>35</v>
      </c>
      <c r="L16" s="6"/>
    </row>
    <row r="17" spans="1:12" ht="39.950000000000003" customHeight="1">
      <c r="A17" s="75">
        <v>4</v>
      </c>
      <c r="B17" s="5" t="s">
        <v>418</v>
      </c>
      <c r="C17" s="96">
        <v>400000</v>
      </c>
      <c r="D17" s="223" t="s">
        <v>419</v>
      </c>
      <c r="E17" s="256" t="s">
        <v>420</v>
      </c>
      <c r="F17" s="27">
        <v>4</v>
      </c>
      <c r="G17" s="181" t="s">
        <v>368</v>
      </c>
      <c r="H17" s="265">
        <v>1326345</v>
      </c>
      <c r="I17" s="265"/>
      <c r="J17" s="106" t="s">
        <v>35</v>
      </c>
      <c r="K17" s="86" t="s">
        <v>35</v>
      </c>
      <c r="L17" s="6"/>
    </row>
    <row r="18" spans="1:12" ht="39.950000000000003" customHeight="1">
      <c r="A18" s="77">
        <v>5</v>
      </c>
      <c r="B18" s="37" t="s">
        <v>418</v>
      </c>
      <c r="C18" s="80">
        <f>420000</f>
        <v>420000</v>
      </c>
      <c r="D18" s="255" t="s">
        <v>416</v>
      </c>
      <c r="E18" s="312" t="s">
        <v>35</v>
      </c>
      <c r="F18" s="27">
        <v>5</v>
      </c>
      <c r="G18" s="181" t="s">
        <v>370</v>
      </c>
      <c r="H18" s="265">
        <f>3686067</f>
        <v>3686067</v>
      </c>
      <c r="I18" s="265"/>
      <c r="J18" s="106" t="s">
        <v>35</v>
      </c>
      <c r="K18" s="86" t="s">
        <v>35</v>
      </c>
      <c r="L18" s="6"/>
    </row>
    <row r="19" spans="1:12" ht="39.950000000000003" customHeight="1">
      <c r="A19" s="75">
        <v>6</v>
      </c>
      <c r="B19" s="5" t="s">
        <v>421</v>
      </c>
      <c r="C19" s="96">
        <v>6500000</v>
      </c>
      <c r="D19" s="9" t="s">
        <v>35</v>
      </c>
      <c r="E19" s="315" t="s">
        <v>52</v>
      </c>
      <c r="F19" s="27">
        <v>6</v>
      </c>
      <c r="G19" s="181" t="s">
        <v>372</v>
      </c>
      <c r="H19" s="265">
        <f>1228689</f>
        <v>1228689</v>
      </c>
      <c r="I19" s="265"/>
      <c r="J19" s="106" t="s">
        <v>35</v>
      </c>
      <c r="K19" s="86" t="s">
        <v>35</v>
      </c>
      <c r="L19" s="6"/>
    </row>
    <row r="20" spans="1:12" ht="39.950000000000003" customHeight="1">
      <c r="A20" s="4">
        <v>7</v>
      </c>
      <c r="B20" s="10" t="s">
        <v>422</v>
      </c>
      <c r="C20" s="19">
        <v>6305000</v>
      </c>
      <c r="D20" s="7" t="s">
        <v>35</v>
      </c>
      <c r="E20" s="94" t="s">
        <v>35</v>
      </c>
      <c r="F20" s="27">
        <v>7</v>
      </c>
      <c r="G20" s="181" t="s">
        <v>374</v>
      </c>
      <c r="H20" s="265">
        <f>242000*3</f>
        <v>726000</v>
      </c>
      <c r="I20" s="265"/>
      <c r="J20" s="106" t="s">
        <v>35</v>
      </c>
      <c r="K20" s="86" t="s">
        <v>35</v>
      </c>
      <c r="L20" s="6"/>
    </row>
    <row r="21" spans="1:12" ht="39.950000000000003" customHeight="1">
      <c r="A21" s="4"/>
      <c r="B21" s="10"/>
      <c r="C21" s="19"/>
      <c r="D21" s="7"/>
      <c r="E21" s="94"/>
      <c r="F21" s="27">
        <v>8</v>
      </c>
      <c r="G21" s="181" t="s">
        <v>376</v>
      </c>
      <c r="H21" s="265">
        <v>330000</v>
      </c>
      <c r="I21" s="265"/>
      <c r="J21" s="106" t="s">
        <v>35</v>
      </c>
      <c r="K21" s="86" t="s">
        <v>377</v>
      </c>
      <c r="L21" s="6"/>
    </row>
    <row r="22" spans="1:12" ht="39.950000000000003" customHeight="1">
      <c r="A22" s="75"/>
      <c r="B22" s="5"/>
      <c r="C22" s="96"/>
      <c r="D22" s="118"/>
      <c r="E22" s="315"/>
      <c r="F22" s="27">
        <v>9</v>
      </c>
      <c r="G22" s="181" t="s">
        <v>378</v>
      </c>
      <c r="H22" s="265">
        <f>4400000</f>
        <v>4400000</v>
      </c>
      <c r="I22" s="265"/>
      <c r="J22" s="106" t="s">
        <v>35</v>
      </c>
      <c r="K22" s="86" t="s">
        <v>35</v>
      </c>
    </row>
    <row r="23" spans="1:12" ht="39.950000000000003" customHeight="1">
      <c r="A23" s="4"/>
      <c r="B23" s="10"/>
      <c r="C23" s="19"/>
      <c r="D23" s="139"/>
      <c r="E23" s="316"/>
      <c r="F23" s="27">
        <v>10</v>
      </c>
      <c r="G23" s="181" t="s">
        <v>379</v>
      </c>
      <c r="H23" s="266">
        <v>385000</v>
      </c>
      <c r="I23" s="266"/>
      <c r="J23" s="106" t="s">
        <v>35</v>
      </c>
      <c r="K23" s="86" t="s">
        <v>35</v>
      </c>
    </row>
    <row r="24" spans="1:12" ht="39.950000000000003" customHeight="1">
      <c r="A24" s="27"/>
      <c r="B24" s="105"/>
      <c r="C24" s="7"/>
      <c r="D24" s="7"/>
      <c r="E24" s="94"/>
      <c r="F24" s="27">
        <v>11</v>
      </c>
      <c r="G24" s="181" t="s">
        <v>380</v>
      </c>
      <c r="H24" s="266">
        <f>3850000</f>
        <v>3850000</v>
      </c>
      <c r="I24" s="266"/>
      <c r="J24" s="8" t="s">
        <v>35</v>
      </c>
      <c r="K24" s="86" t="s">
        <v>35</v>
      </c>
    </row>
    <row r="25" spans="1:12" ht="39.950000000000003" customHeight="1">
      <c r="A25" s="27"/>
      <c r="B25" s="105"/>
      <c r="C25" s="7"/>
      <c r="D25" s="7"/>
      <c r="E25" s="94"/>
      <c r="F25" s="27">
        <v>12</v>
      </c>
      <c r="G25" s="181" t="s">
        <v>381</v>
      </c>
      <c r="H25" s="266">
        <f>660000</f>
        <v>660000</v>
      </c>
      <c r="I25" s="266"/>
      <c r="J25" s="106" t="s">
        <v>35</v>
      </c>
      <c r="K25" s="86" t="s">
        <v>35</v>
      </c>
    </row>
    <row r="26" spans="1:12" ht="39.950000000000003" customHeight="1">
      <c r="A26" s="27"/>
      <c r="B26" s="105"/>
      <c r="C26" s="7"/>
      <c r="D26" s="7"/>
      <c r="E26" s="315"/>
      <c r="F26" s="27">
        <v>13</v>
      </c>
      <c r="G26" s="181" t="s">
        <v>382</v>
      </c>
      <c r="H26" s="266">
        <v>9361000</v>
      </c>
      <c r="I26" s="266"/>
      <c r="J26" s="8" t="s">
        <v>35</v>
      </c>
      <c r="K26" s="86" t="s">
        <v>35</v>
      </c>
    </row>
    <row r="27" spans="1:12" ht="39.950000000000003" customHeight="1">
      <c r="A27" s="27"/>
      <c r="B27" s="105"/>
      <c r="C27" s="7"/>
      <c r="D27" s="7"/>
      <c r="E27" s="94"/>
      <c r="F27" s="27">
        <v>14</v>
      </c>
      <c r="G27" s="209" t="s">
        <v>383</v>
      </c>
      <c r="H27" s="266">
        <v>3234000</v>
      </c>
      <c r="I27" s="266"/>
      <c r="J27" s="8" t="s">
        <v>35</v>
      </c>
      <c r="K27" s="86" t="s">
        <v>35</v>
      </c>
    </row>
    <row r="28" spans="1:12" ht="39.950000000000003" customHeight="1">
      <c r="A28" s="75"/>
      <c r="B28" s="5"/>
      <c r="C28" s="96"/>
      <c r="D28" s="118"/>
      <c r="E28" s="315"/>
      <c r="F28" s="27">
        <v>15</v>
      </c>
      <c r="G28" s="209" t="s">
        <v>384</v>
      </c>
      <c r="H28" s="266">
        <f>940500</f>
        <v>940500</v>
      </c>
      <c r="I28" s="266"/>
      <c r="J28" s="8" t="s">
        <v>35</v>
      </c>
      <c r="K28" s="86" t="s">
        <v>35</v>
      </c>
    </row>
    <row r="29" spans="1:12" ht="39.950000000000003" customHeight="1">
      <c r="A29" s="4"/>
      <c r="B29" s="10"/>
      <c r="C29" s="19"/>
      <c r="D29" s="139"/>
      <c r="E29" s="316"/>
      <c r="F29" s="27">
        <v>16</v>
      </c>
      <c r="G29" s="209" t="s">
        <v>385</v>
      </c>
      <c r="H29" s="266">
        <v>176000</v>
      </c>
      <c r="I29" s="266"/>
      <c r="J29" s="8" t="s">
        <v>35</v>
      </c>
      <c r="K29" s="86" t="s">
        <v>35</v>
      </c>
    </row>
    <row r="30" spans="1:12" ht="39.950000000000003" customHeight="1">
      <c r="A30" s="27"/>
      <c r="B30" s="105"/>
      <c r="C30" s="7"/>
      <c r="D30" s="7"/>
      <c r="E30" s="94"/>
      <c r="F30" s="27">
        <v>17</v>
      </c>
      <c r="G30" s="209" t="s">
        <v>386</v>
      </c>
      <c r="H30" s="266">
        <f>1573000</f>
        <v>1573000</v>
      </c>
      <c r="I30" s="266"/>
      <c r="J30" s="8" t="s">
        <v>35</v>
      </c>
      <c r="K30" s="86" t="s">
        <v>35</v>
      </c>
    </row>
    <row r="31" spans="1:12" ht="39.950000000000003" customHeight="1">
      <c r="A31" s="27"/>
      <c r="B31" s="105"/>
      <c r="C31" s="7"/>
      <c r="D31" s="7"/>
      <c r="E31" s="94"/>
      <c r="F31" s="27">
        <v>18</v>
      </c>
      <c r="G31" s="209" t="s">
        <v>387</v>
      </c>
      <c r="H31" s="266">
        <v>2970000</v>
      </c>
      <c r="I31" s="266"/>
      <c r="J31" s="8" t="s">
        <v>35</v>
      </c>
      <c r="K31" s="86" t="s">
        <v>35</v>
      </c>
    </row>
    <row r="32" spans="1:12" ht="39.950000000000003" customHeight="1">
      <c r="A32" s="27"/>
      <c r="B32" s="105"/>
      <c r="C32" s="7"/>
      <c r="D32" s="7"/>
      <c r="E32" s="315"/>
      <c r="F32" s="27">
        <v>19</v>
      </c>
      <c r="G32" s="209" t="s">
        <v>388</v>
      </c>
      <c r="H32" s="266">
        <v>100000</v>
      </c>
      <c r="I32" s="266"/>
      <c r="J32" s="8" t="s">
        <v>35</v>
      </c>
      <c r="K32" s="86" t="s">
        <v>35</v>
      </c>
    </row>
    <row r="33" spans="1:11" ht="39.950000000000003" customHeight="1">
      <c r="A33" s="27"/>
      <c r="B33" s="105"/>
      <c r="C33" s="7"/>
      <c r="D33" s="7"/>
      <c r="E33" s="94"/>
      <c r="F33" s="27">
        <v>20</v>
      </c>
      <c r="G33" s="209" t="s">
        <v>389</v>
      </c>
      <c r="H33" s="266">
        <f>1200000</f>
        <v>1200000</v>
      </c>
      <c r="I33" s="159">
        <f>H33-(H33*3.3%)</f>
        <v>1160400</v>
      </c>
      <c r="J33" s="8" t="s">
        <v>35</v>
      </c>
      <c r="K33" s="86" t="s">
        <v>35</v>
      </c>
    </row>
    <row r="34" spans="1:11" ht="39.950000000000003" customHeight="1">
      <c r="A34" s="75"/>
      <c r="B34" s="5"/>
      <c r="C34" s="96"/>
      <c r="D34" s="118"/>
      <c r="E34" s="315"/>
      <c r="F34" s="27">
        <v>21</v>
      </c>
      <c r="G34" s="181" t="s">
        <v>390</v>
      </c>
      <c r="H34" s="266">
        <v>23960280</v>
      </c>
      <c r="I34" s="266"/>
      <c r="J34" s="106" t="s">
        <v>35</v>
      </c>
      <c r="K34" s="229" t="s">
        <v>35</v>
      </c>
    </row>
    <row r="35" spans="1:11" ht="39.950000000000003" customHeight="1">
      <c r="A35" s="4"/>
      <c r="B35" s="10"/>
      <c r="C35" s="19"/>
      <c r="D35" s="139"/>
      <c r="E35" s="316"/>
      <c r="F35" s="27">
        <v>22</v>
      </c>
      <c r="G35" s="181" t="s">
        <v>392</v>
      </c>
      <c r="H35" s="306">
        <v>1410170</v>
      </c>
      <c r="I35" s="266"/>
      <c r="J35" s="106" t="s">
        <v>35</v>
      </c>
      <c r="K35" s="229" t="s">
        <v>35</v>
      </c>
    </row>
    <row r="36" spans="1:11" ht="39.950000000000003" customHeight="1">
      <c r="A36" s="27"/>
      <c r="B36" s="105"/>
      <c r="C36" s="7"/>
      <c r="D36" s="7"/>
      <c r="E36" s="94"/>
      <c r="F36" s="27">
        <v>23</v>
      </c>
      <c r="G36" s="181" t="s">
        <v>152</v>
      </c>
      <c r="H36" s="266">
        <f>130930+147630</f>
        <v>278560</v>
      </c>
      <c r="I36" s="266"/>
      <c r="J36" s="106" t="s">
        <v>35</v>
      </c>
      <c r="K36" s="229" t="s">
        <v>35</v>
      </c>
    </row>
    <row r="37" spans="1:11" ht="39.950000000000003" customHeight="1">
      <c r="A37" s="27"/>
      <c r="B37" s="105"/>
      <c r="C37" s="7"/>
      <c r="D37" s="7"/>
      <c r="E37" s="94"/>
      <c r="F37" s="27">
        <v>24</v>
      </c>
      <c r="G37" s="181" t="s">
        <v>393</v>
      </c>
      <c r="H37" s="269">
        <f>1210000</f>
        <v>1210000</v>
      </c>
      <c r="I37" s="269"/>
      <c r="J37" s="106">
        <v>44316</v>
      </c>
      <c r="K37" s="86"/>
    </row>
    <row r="38" spans="1:11" ht="39.950000000000003" customHeight="1">
      <c r="A38" s="27"/>
      <c r="B38" s="105"/>
      <c r="C38" s="7"/>
      <c r="D38" s="7"/>
      <c r="E38" s="315"/>
      <c r="F38" s="27">
        <v>25</v>
      </c>
      <c r="G38" s="181" t="s">
        <v>394</v>
      </c>
      <c r="H38" s="269">
        <f>32000+33100</f>
        <v>65100</v>
      </c>
      <c r="I38" s="269"/>
      <c r="J38" s="7" t="s">
        <v>35</v>
      </c>
      <c r="K38" s="86"/>
    </row>
    <row r="39" spans="1:11" ht="39.950000000000003" customHeight="1">
      <c r="A39" s="27"/>
      <c r="B39" s="105"/>
      <c r="C39" s="7"/>
      <c r="D39" s="7"/>
      <c r="E39" s="94"/>
      <c r="F39" s="27">
        <v>26</v>
      </c>
      <c r="G39" s="181" t="s">
        <v>395</v>
      </c>
      <c r="H39" s="269">
        <f>37000</f>
        <v>37000</v>
      </c>
      <c r="I39" s="269"/>
      <c r="J39" s="7" t="s">
        <v>35</v>
      </c>
      <c r="K39" s="86"/>
    </row>
    <row r="40" spans="1:11" ht="39.950000000000003" customHeight="1">
      <c r="A40" s="75"/>
      <c r="B40" s="5"/>
      <c r="C40" s="96"/>
      <c r="D40" s="118"/>
      <c r="E40" s="315"/>
      <c r="F40" s="27">
        <v>27</v>
      </c>
      <c r="G40" s="181" t="s">
        <v>396</v>
      </c>
      <c r="H40" s="269">
        <f>48000</f>
        <v>48000</v>
      </c>
      <c r="I40" s="269"/>
      <c r="J40" s="7" t="s">
        <v>35</v>
      </c>
      <c r="K40" s="86"/>
    </row>
    <row r="41" spans="1:11" ht="39.950000000000003" customHeight="1">
      <c r="A41" s="4"/>
      <c r="B41" s="10"/>
      <c r="C41" s="19"/>
      <c r="D41" s="139"/>
      <c r="E41" s="316"/>
      <c r="F41" s="27">
        <v>28</v>
      </c>
      <c r="G41" s="181" t="s">
        <v>397</v>
      </c>
      <c r="H41" s="269">
        <f>24000</f>
        <v>24000</v>
      </c>
      <c r="I41" s="269"/>
      <c r="J41" s="7"/>
      <c r="K41" s="86"/>
    </row>
    <row r="42" spans="1:11" ht="39.950000000000003" customHeight="1">
      <c r="A42" s="27"/>
      <c r="B42" s="105"/>
      <c r="C42" s="7"/>
      <c r="D42" s="7"/>
      <c r="E42" s="94"/>
      <c r="F42" s="27">
        <v>29</v>
      </c>
      <c r="G42" s="181" t="s">
        <v>398</v>
      </c>
      <c r="H42" s="269">
        <f>45000</f>
        <v>45000</v>
      </c>
      <c r="I42" s="269"/>
      <c r="J42" s="7"/>
      <c r="K42" s="86"/>
    </row>
    <row r="43" spans="1:11" ht="39.950000000000003" customHeight="1">
      <c r="A43" s="27"/>
      <c r="B43" s="105"/>
      <c r="C43" s="7"/>
      <c r="D43" s="7"/>
      <c r="E43" s="94"/>
      <c r="F43" s="27">
        <v>30</v>
      </c>
      <c r="G43" s="181" t="s">
        <v>399</v>
      </c>
      <c r="H43" s="269">
        <f>47000</f>
        <v>47000</v>
      </c>
      <c r="I43" s="269"/>
      <c r="J43" s="7"/>
      <c r="K43" s="86"/>
    </row>
    <row r="44" spans="1:11" ht="39.950000000000003" customHeight="1">
      <c r="A44" s="27"/>
      <c r="B44" s="105"/>
      <c r="C44" s="7"/>
      <c r="D44" s="7"/>
      <c r="E44" s="315"/>
      <c r="F44" s="27">
        <v>31</v>
      </c>
      <c r="G44" s="181" t="s">
        <v>400</v>
      </c>
      <c r="H44" s="269">
        <f>7000</f>
        <v>7000</v>
      </c>
      <c r="I44" s="269"/>
      <c r="J44" s="7"/>
      <c r="K44" s="86"/>
    </row>
    <row r="45" spans="1:11" ht="39.950000000000003" customHeight="1">
      <c r="A45" s="27"/>
      <c r="B45" s="105"/>
      <c r="C45" s="7"/>
      <c r="D45" s="7"/>
      <c r="E45" s="94"/>
      <c r="F45" s="27">
        <v>32</v>
      </c>
      <c r="G45" s="181" t="s">
        <v>401</v>
      </c>
      <c r="H45" s="269">
        <f>24000+381000</f>
        <v>405000</v>
      </c>
      <c r="I45" s="269"/>
      <c r="J45" s="7"/>
      <c r="K45" s="86"/>
    </row>
    <row r="46" spans="1:11" ht="39.950000000000003" customHeight="1">
      <c r="A46" s="75"/>
      <c r="B46" s="5"/>
      <c r="C46" s="96"/>
      <c r="D46" s="118"/>
      <c r="E46" s="315"/>
      <c r="F46" s="27">
        <v>33</v>
      </c>
      <c r="G46" s="181" t="s">
        <v>402</v>
      </c>
      <c r="H46" s="269">
        <f>90600</f>
        <v>90600</v>
      </c>
      <c r="I46" s="269"/>
      <c r="J46" s="7"/>
      <c r="K46" s="86"/>
    </row>
    <row r="47" spans="1:11" ht="39.950000000000003" customHeight="1">
      <c r="A47" s="4"/>
      <c r="B47" s="10"/>
      <c r="C47" s="19"/>
      <c r="D47" s="139"/>
      <c r="E47" s="316"/>
      <c r="F47" s="27">
        <v>34</v>
      </c>
      <c r="G47" s="181" t="s">
        <v>403</v>
      </c>
      <c r="H47" s="269">
        <f>32000+55500</f>
        <v>87500</v>
      </c>
      <c r="I47" s="269"/>
      <c r="J47" s="7"/>
      <c r="K47" s="86"/>
    </row>
    <row r="48" spans="1:11" ht="39.950000000000003" customHeight="1">
      <c r="A48" s="27"/>
      <c r="B48" s="105"/>
      <c r="C48" s="7"/>
      <c r="D48" s="7"/>
      <c r="E48" s="94"/>
      <c r="F48" s="27">
        <v>35</v>
      </c>
      <c r="G48" s="181" t="s">
        <v>404</v>
      </c>
      <c r="H48" s="269">
        <f>17900</f>
        <v>17900</v>
      </c>
      <c r="I48" s="269"/>
      <c r="J48" s="7"/>
      <c r="K48" s="86"/>
    </row>
    <row r="49" spans="1:11" ht="39.950000000000003" customHeight="1">
      <c r="A49" s="27"/>
      <c r="B49" s="105"/>
      <c r="C49" s="7"/>
      <c r="D49" s="7"/>
      <c r="E49" s="94"/>
      <c r="F49" s="27">
        <v>36</v>
      </c>
      <c r="G49" s="181" t="s">
        <v>405</v>
      </c>
      <c r="H49" s="269">
        <f>11800</f>
        <v>11800</v>
      </c>
      <c r="I49" s="269"/>
      <c r="J49" s="7"/>
      <c r="K49" s="86"/>
    </row>
    <row r="50" spans="1:11" ht="39.950000000000003" customHeight="1">
      <c r="A50" s="27"/>
      <c r="B50" s="105"/>
      <c r="C50" s="7"/>
      <c r="D50" s="7"/>
      <c r="E50" s="315"/>
      <c r="F50" s="27">
        <v>37</v>
      </c>
      <c r="G50" s="181" t="s">
        <v>406</v>
      </c>
      <c r="H50" s="269">
        <f>138600</f>
        <v>138600</v>
      </c>
      <c r="I50" s="269"/>
      <c r="J50" s="7"/>
      <c r="K50" s="86"/>
    </row>
    <row r="51" spans="1:11" ht="39.950000000000003" customHeight="1">
      <c r="A51" s="27"/>
      <c r="B51" s="105"/>
      <c r="C51" s="7"/>
      <c r="D51" s="7"/>
      <c r="E51" s="94"/>
      <c r="F51" s="27">
        <v>38</v>
      </c>
      <c r="G51" s="181" t="s">
        <v>407</v>
      </c>
      <c r="H51" s="269">
        <f>10690</f>
        <v>10690</v>
      </c>
      <c r="I51" s="269"/>
      <c r="J51" s="7"/>
      <c r="K51" s="86"/>
    </row>
    <row r="52" spans="1:11" ht="39.950000000000003" customHeight="1">
      <c r="A52" s="75"/>
      <c r="B52" s="5"/>
      <c r="C52" s="96"/>
      <c r="D52" s="118"/>
      <c r="E52" s="315"/>
      <c r="F52" s="27">
        <v>39</v>
      </c>
      <c r="G52" s="181" t="s">
        <v>319</v>
      </c>
      <c r="H52" s="269">
        <f>300300</f>
        <v>300300</v>
      </c>
      <c r="I52" s="269"/>
      <c r="J52" s="8">
        <v>44312</v>
      </c>
      <c r="K52" s="86" t="s">
        <v>111</v>
      </c>
    </row>
    <row r="53" spans="1:11" ht="39.950000000000003" customHeight="1">
      <c r="A53" s="4"/>
      <c r="B53" s="10"/>
      <c r="C53" s="19"/>
      <c r="D53" s="139"/>
      <c r="E53" s="316"/>
      <c r="F53" s="27">
        <v>40</v>
      </c>
      <c r="G53" s="181" t="s">
        <v>321</v>
      </c>
      <c r="H53" s="269">
        <f>107400</f>
        <v>107400</v>
      </c>
      <c r="I53" s="269"/>
      <c r="J53" s="7" t="s">
        <v>35</v>
      </c>
      <c r="K53" s="86" t="s">
        <v>35</v>
      </c>
    </row>
    <row r="54" spans="1:11" ht="39.950000000000003" customHeight="1">
      <c r="A54" s="27"/>
      <c r="B54" s="105"/>
      <c r="C54" s="7"/>
      <c r="D54" s="7"/>
      <c r="E54" s="94"/>
      <c r="F54" s="27">
        <v>41</v>
      </c>
      <c r="G54" s="181" t="s">
        <v>322</v>
      </c>
      <c r="H54" s="269">
        <f>32900</f>
        <v>32900</v>
      </c>
      <c r="I54" s="269"/>
      <c r="J54" s="7" t="s">
        <v>35</v>
      </c>
      <c r="K54" s="86" t="s">
        <v>35</v>
      </c>
    </row>
    <row r="55" spans="1:11" ht="39.950000000000003" customHeight="1">
      <c r="A55" s="27"/>
      <c r="B55" s="105"/>
      <c r="C55" s="7"/>
      <c r="D55" s="7"/>
      <c r="E55" s="94"/>
      <c r="F55" s="27">
        <v>42</v>
      </c>
      <c r="G55" s="155" t="s">
        <v>391</v>
      </c>
      <c r="H55" s="67">
        <v>3500000</v>
      </c>
      <c r="I55" s="269"/>
      <c r="J55" s="8">
        <v>44316</v>
      </c>
      <c r="K55" s="86" t="s">
        <v>423</v>
      </c>
    </row>
    <row r="56" spans="1:11" ht="39.950000000000003" customHeight="1">
      <c r="A56" s="27"/>
      <c r="B56" s="105"/>
      <c r="C56" s="7"/>
      <c r="D56" s="7"/>
      <c r="E56" s="315"/>
      <c r="F56" s="27">
        <v>43</v>
      </c>
      <c r="G56" s="155" t="s">
        <v>424</v>
      </c>
      <c r="H56" s="67">
        <v>500000</v>
      </c>
      <c r="I56" s="269"/>
      <c r="J56" s="8">
        <v>44315</v>
      </c>
      <c r="K56" s="86" t="s">
        <v>425</v>
      </c>
    </row>
    <row r="57" spans="1:11" ht="39.950000000000003" customHeight="1">
      <c r="A57" s="27"/>
      <c r="B57" s="105"/>
      <c r="C57" s="7"/>
      <c r="D57" s="7"/>
      <c r="E57" s="94"/>
      <c r="F57" s="27">
        <v>44</v>
      </c>
      <c r="G57" s="155" t="s">
        <v>426</v>
      </c>
      <c r="H57" s="67">
        <v>250000</v>
      </c>
      <c r="I57" s="269"/>
      <c r="J57" s="8" t="s">
        <v>35</v>
      </c>
      <c r="K57" s="86" t="s">
        <v>35</v>
      </c>
    </row>
    <row r="58" spans="1:11" ht="39.950000000000003" customHeight="1">
      <c r="A58" s="75"/>
      <c r="B58" s="5"/>
      <c r="C58" s="96"/>
      <c r="D58" s="118"/>
      <c r="E58" s="315"/>
      <c r="F58" s="27">
        <v>45</v>
      </c>
      <c r="G58" s="155" t="s">
        <v>427</v>
      </c>
      <c r="H58" s="67">
        <v>500000</v>
      </c>
      <c r="I58" s="269"/>
      <c r="J58" s="8" t="s">
        <v>35</v>
      </c>
      <c r="K58" s="86" t="s">
        <v>35</v>
      </c>
    </row>
    <row r="59" spans="1:11" ht="39.950000000000003" customHeight="1">
      <c r="A59" s="4"/>
      <c r="B59" s="10"/>
      <c r="C59" s="19"/>
      <c r="D59" s="139"/>
      <c r="E59" s="316"/>
      <c r="F59" s="27">
        <v>46</v>
      </c>
      <c r="G59" s="155" t="s">
        <v>428</v>
      </c>
      <c r="H59" s="67">
        <v>250000</v>
      </c>
      <c r="I59" s="269"/>
      <c r="J59" s="8" t="s">
        <v>35</v>
      </c>
      <c r="K59" s="86" t="s">
        <v>35</v>
      </c>
    </row>
    <row r="60" spans="1:11" ht="39.950000000000003" customHeight="1">
      <c r="A60" s="27"/>
      <c r="B60" s="105"/>
      <c r="C60" s="7"/>
      <c r="D60" s="7"/>
      <c r="E60" s="94"/>
      <c r="F60" s="27">
        <v>47</v>
      </c>
      <c r="G60" s="181" t="s">
        <v>408</v>
      </c>
      <c r="H60" s="269">
        <f>220730</f>
        <v>220730</v>
      </c>
      <c r="I60" s="269"/>
      <c r="J60" s="7"/>
      <c r="K60" s="86" t="s">
        <v>429</v>
      </c>
    </row>
    <row r="61" spans="1:11" ht="39.950000000000003" customHeight="1">
      <c r="A61" s="27"/>
      <c r="B61" s="105"/>
      <c r="C61" s="7"/>
      <c r="D61" s="7"/>
      <c r="E61" s="94"/>
      <c r="F61" s="27">
        <v>48</v>
      </c>
      <c r="G61" s="181" t="s">
        <v>409</v>
      </c>
      <c r="H61" s="269">
        <v>232000</v>
      </c>
      <c r="I61" s="269"/>
      <c r="J61" s="7"/>
      <c r="K61" s="86" t="s">
        <v>35</v>
      </c>
    </row>
    <row r="62" spans="1:11" ht="39.950000000000003" customHeight="1">
      <c r="A62" s="27"/>
      <c r="B62" s="105"/>
      <c r="C62" s="7"/>
      <c r="D62" s="7"/>
      <c r="E62" s="315"/>
      <c r="F62" s="27">
        <v>49</v>
      </c>
      <c r="G62" s="181" t="s">
        <v>410</v>
      </c>
      <c r="H62" s="269">
        <v>14060374</v>
      </c>
      <c r="I62" s="269"/>
      <c r="J62" s="7"/>
      <c r="K62" s="86" t="s">
        <v>35</v>
      </c>
    </row>
    <row r="63" spans="1:11" ht="39.950000000000003" customHeight="1">
      <c r="A63" s="27"/>
      <c r="B63" s="105"/>
      <c r="C63" s="7"/>
      <c r="D63" s="7"/>
      <c r="E63" s="94"/>
      <c r="F63" s="52">
        <v>50</v>
      </c>
      <c r="G63" s="271" t="s">
        <v>411</v>
      </c>
      <c r="H63" s="301">
        <v>83900</v>
      </c>
      <c r="I63" s="301"/>
      <c r="J63" s="119"/>
      <c r="K63" s="228" t="s">
        <v>35</v>
      </c>
    </row>
    <row r="64" spans="1:11" ht="39.950000000000003" customHeight="1">
      <c r="A64" s="75"/>
      <c r="B64" s="5"/>
      <c r="C64" s="96"/>
      <c r="D64" s="118"/>
      <c r="E64" s="315"/>
      <c r="F64" s="317">
        <v>51</v>
      </c>
      <c r="G64" s="162" t="s">
        <v>430</v>
      </c>
      <c r="H64" s="270">
        <f>4170</f>
        <v>4170</v>
      </c>
      <c r="I64" s="270"/>
      <c r="J64" s="71">
        <v>44313</v>
      </c>
      <c r="K64" s="85" t="s">
        <v>431</v>
      </c>
    </row>
    <row r="65" spans="1:11" ht="39.950000000000003" customHeight="1">
      <c r="A65" s="4"/>
      <c r="B65" s="10"/>
      <c r="C65" s="19"/>
      <c r="D65" s="139"/>
      <c r="E65" s="316"/>
      <c r="F65" s="27">
        <v>52</v>
      </c>
      <c r="G65" s="181" t="s">
        <v>432</v>
      </c>
      <c r="H65" s="269">
        <f>3810</f>
        <v>3810</v>
      </c>
      <c r="I65" s="269"/>
      <c r="J65" s="71">
        <v>44314</v>
      </c>
      <c r="K65" s="86"/>
    </row>
    <row r="66" spans="1:11" ht="39.950000000000003" customHeight="1">
      <c r="A66" s="27"/>
      <c r="B66" s="105"/>
      <c r="C66" s="7"/>
      <c r="D66" s="7"/>
      <c r="E66" s="94"/>
      <c r="F66" s="27">
        <v>53</v>
      </c>
      <c r="G66" s="181" t="s">
        <v>433</v>
      </c>
      <c r="H66" s="269">
        <f>2166716</f>
        <v>2166716</v>
      </c>
      <c r="I66" s="269"/>
      <c r="J66" s="7" t="s">
        <v>35</v>
      </c>
      <c r="K66" s="86"/>
    </row>
    <row r="67" spans="1:11" ht="39.950000000000003" customHeight="1">
      <c r="A67" s="27"/>
      <c r="B67" s="105"/>
      <c r="C67" s="7"/>
      <c r="D67" s="7"/>
      <c r="E67" s="94"/>
      <c r="F67" s="27">
        <v>54</v>
      </c>
      <c r="G67" s="181" t="s">
        <v>434</v>
      </c>
      <c r="H67" s="269">
        <f>100000</f>
        <v>100000</v>
      </c>
      <c r="I67" s="269"/>
      <c r="J67" s="71">
        <v>44315</v>
      </c>
      <c r="K67" s="86"/>
    </row>
    <row r="68" spans="1:11" ht="39.950000000000003" customHeight="1">
      <c r="A68" s="27"/>
      <c r="B68" s="105"/>
      <c r="C68" s="7"/>
      <c r="D68" s="7"/>
      <c r="E68" s="315"/>
      <c r="F68" s="27">
        <v>55</v>
      </c>
      <c r="G68" s="181" t="s">
        <v>435</v>
      </c>
      <c r="H68" s="269">
        <f>5500</f>
        <v>5500</v>
      </c>
      <c r="I68" s="269"/>
      <c r="J68" s="7" t="s">
        <v>35</v>
      </c>
      <c r="K68" s="86"/>
    </row>
    <row r="69" spans="1:11" ht="39.950000000000003" customHeight="1">
      <c r="A69" s="27"/>
      <c r="B69" s="105"/>
      <c r="C69" s="7"/>
      <c r="D69" s="7"/>
      <c r="E69" s="94"/>
      <c r="F69" s="27">
        <v>56</v>
      </c>
      <c r="G69" s="181" t="s">
        <v>436</v>
      </c>
      <c r="H69" s="269">
        <f>21490</f>
        <v>21490</v>
      </c>
      <c r="I69" s="269"/>
      <c r="J69" s="7" t="s">
        <v>35</v>
      </c>
      <c r="K69" s="86"/>
    </row>
    <row r="70" spans="1:11" ht="39.950000000000003" customHeight="1">
      <c r="A70" s="75"/>
      <c r="B70" s="5"/>
      <c r="C70" s="96"/>
      <c r="D70" s="118"/>
      <c r="E70" s="315"/>
      <c r="F70" s="27">
        <v>57</v>
      </c>
      <c r="G70" s="181" t="s">
        <v>437</v>
      </c>
      <c r="H70" s="269">
        <f>21850</f>
        <v>21850</v>
      </c>
      <c r="I70" s="269"/>
      <c r="J70" s="71">
        <v>44316</v>
      </c>
      <c r="K70" s="86"/>
    </row>
    <row r="71" spans="1:11" ht="39.950000000000003" customHeight="1" thickBot="1">
      <c r="A71" s="4"/>
      <c r="B71" s="10"/>
      <c r="C71" s="19"/>
      <c r="D71" s="139"/>
      <c r="E71" s="316"/>
      <c r="F71" s="27">
        <v>58</v>
      </c>
      <c r="G71" s="181" t="s">
        <v>438</v>
      </c>
      <c r="H71" s="269">
        <f>1631150+32300</f>
        <v>1663450</v>
      </c>
      <c r="I71" s="269"/>
      <c r="J71" s="7" t="s">
        <v>35</v>
      </c>
      <c r="K71" s="86"/>
    </row>
    <row r="72" spans="1:11" ht="39.950000000000003" customHeight="1" thickTop="1" thickBot="1">
      <c r="A72" s="30"/>
      <c r="B72" s="31" t="s">
        <v>72</v>
      </c>
      <c r="C72" s="24">
        <f>SUM(C14:C40)</f>
        <v>164645000</v>
      </c>
      <c r="D72" s="43"/>
      <c r="E72" s="62"/>
      <c r="F72" s="59"/>
      <c r="G72" s="31" t="s">
        <v>72</v>
      </c>
      <c r="H72" s="34">
        <f>SUM(H14:H59)</f>
        <v>133832281</v>
      </c>
      <c r="I72" s="34">
        <f>SUM(H14:H32,I33,H34:H59)</f>
        <v>133792681</v>
      </c>
      <c r="J72" s="47" t="s">
        <v>73</v>
      </c>
      <c r="K72" s="46"/>
    </row>
    <row r="73" spans="1:11" ht="39.950000000000003" customHeight="1" thickBot="1">
      <c r="A73" s="820" t="s">
        <v>74</v>
      </c>
      <c r="B73" s="821"/>
      <c r="C73" s="821"/>
      <c r="D73" s="821"/>
      <c r="E73" s="821"/>
      <c r="F73" s="821"/>
      <c r="G73" s="821"/>
      <c r="H73" s="691"/>
      <c r="I73" s="691"/>
      <c r="J73" s="11"/>
      <c r="K73" s="11"/>
    </row>
    <row r="74" spans="1:11" ht="39.950000000000003" customHeight="1" thickBot="1">
      <c r="A74" s="851" t="s">
        <v>439</v>
      </c>
      <c r="B74" s="852"/>
      <c r="C74" s="852"/>
      <c r="D74" s="852"/>
      <c r="E74" s="853"/>
      <c r="F74" s="851" t="s">
        <v>440</v>
      </c>
      <c r="G74" s="852"/>
      <c r="H74" s="852"/>
      <c r="I74" s="852"/>
      <c r="J74" s="852"/>
      <c r="K74" s="853"/>
    </row>
    <row r="75" spans="1:11" ht="39.950000000000003" customHeight="1" thickBot="1">
      <c r="A75" s="224" t="s">
        <v>24</v>
      </c>
      <c r="B75" s="225" t="s">
        <v>25</v>
      </c>
      <c r="C75" s="226" t="s">
        <v>108</v>
      </c>
      <c r="D75" s="226" t="s">
        <v>27</v>
      </c>
      <c r="E75" s="692" t="s">
        <v>10</v>
      </c>
      <c r="F75" s="276" t="s">
        <v>24</v>
      </c>
      <c r="G75" s="277" t="s">
        <v>25</v>
      </c>
      <c r="H75" s="278" t="s">
        <v>26</v>
      </c>
      <c r="I75" s="278" t="s">
        <v>200</v>
      </c>
      <c r="J75" s="278" t="s">
        <v>27</v>
      </c>
      <c r="K75" s="279" t="s">
        <v>10</v>
      </c>
    </row>
    <row r="76" spans="1:11" ht="39.950000000000003" customHeight="1" thickTop="1">
      <c r="A76" s="4">
        <v>1</v>
      </c>
      <c r="B76" s="207" t="s">
        <v>441</v>
      </c>
      <c r="C76" s="19">
        <f>661515</f>
        <v>661515</v>
      </c>
      <c r="D76" s="118" t="s">
        <v>442</v>
      </c>
      <c r="E76" s="63" t="s">
        <v>30</v>
      </c>
      <c r="F76" s="318">
        <v>1</v>
      </c>
      <c r="G76" s="311" t="s">
        <v>151</v>
      </c>
      <c r="H76" s="307">
        <f>4160000+20856</f>
        <v>4180856</v>
      </c>
      <c r="I76" s="307"/>
      <c r="J76" s="309">
        <v>44319</v>
      </c>
      <c r="K76" s="319" t="s">
        <v>253</v>
      </c>
    </row>
    <row r="77" spans="1:11" ht="39.950000000000003" customHeight="1">
      <c r="A77" s="4">
        <v>2</v>
      </c>
      <c r="B77" s="10" t="s">
        <v>373</v>
      </c>
      <c r="C77" s="19">
        <v>47685000</v>
      </c>
      <c r="D77" s="139" t="s">
        <v>443</v>
      </c>
      <c r="E77" s="63"/>
      <c r="F77" s="191">
        <v>2</v>
      </c>
      <c r="G77" s="162" t="s">
        <v>444</v>
      </c>
      <c r="H77" s="266">
        <f>792300+283980+227740+237280</f>
        <v>1541300</v>
      </c>
      <c r="I77" s="266"/>
      <c r="J77" s="106" t="s">
        <v>35</v>
      </c>
      <c r="K77" s="229" t="s">
        <v>35</v>
      </c>
    </row>
    <row r="78" spans="1:11" ht="39.950000000000003" customHeight="1">
      <c r="A78" s="27">
        <v>3</v>
      </c>
      <c r="B78" s="10" t="s">
        <v>445</v>
      </c>
      <c r="C78" s="19">
        <v>32670000</v>
      </c>
      <c r="D78" s="10" t="s">
        <v>443</v>
      </c>
      <c r="E78" s="94"/>
      <c r="F78" s="191">
        <v>3</v>
      </c>
      <c r="G78" s="181" t="s">
        <v>252</v>
      </c>
      <c r="H78" s="66">
        <f>608958</f>
        <v>608958</v>
      </c>
      <c r="I78" s="66"/>
      <c r="J78" s="8">
        <v>44322</v>
      </c>
      <c r="K78" s="135" t="s">
        <v>35</v>
      </c>
    </row>
    <row r="79" spans="1:11" ht="39.950000000000003" customHeight="1">
      <c r="A79" s="27">
        <v>4</v>
      </c>
      <c r="B79" s="10" t="s">
        <v>446</v>
      </c>
      <c r="C79" s="19">
        <v>8712000</v>
      </c>
      <c r="D79" s="10" t="s">
        <v>443</v>
      </c>
      <c r="E79" s="63"/>
      <c r="F79" s="191">
        <v>4</v>
      </c>
      <c r="G79" s="162" t="s">
        <v>447</v>
      </c>
      <c r="H79" s="140">
        <v>14500</v>
      </c>
      <c r="I79" s="140"/>
      <c r="J79" s="71" t="s">
        <v>35</v>
      </c>
      <c r="K79" s="135" t="s">
        <v>249</v>
      </c>
    </row>
    <row r="80" spans="1:11" ht="39.950000000000003" customHeight="1">
      <c r="A80" s="27">
        <v>5</v>
      </c>
      <c r="B80" s="10" t="s">
        <v>366</v>
      </c>
      <c r="C80" s="19">
        <v>6545000</v>
      </c>
      <c r="D80" s="139" t="s">
        <v>443</v>
      </c>
      <c r="E80" s="63"/>
      <c r="F80" s="191">
        <v>5</v>
      </c>
      <c r="G80" s="162" t="s">
        <v>448</v>
      </c>
      <c r="H80" s="140">
        <f>1418800+40000</f>
        <v>1458800</v>
      </c>
      <c r="I80" s="140"/>
      <c r="J80" s="71" t="s">
        <v>35</v>
      </c>
      <c r="K80" s="135" t="s">
        <v>257</v>
      </c>
    </row>
    <row r="81" spans="1:11" ht="39.950000000000003" customHeight="1">
      <c r="A81" s="27">
        <v>6</v>
      </c>
      <c r="B81" s="10" t="s">
        <v>204</v>
      </c>
      <c r="C81" s="19">
        <v>16500000</v>
      </c>
      <c r="D81" s="139" t="s">
        <v>443</v>
      </c>
      <c r="E81" s="63"/>
      <c r="F81" s="191">
        <v>6</v>
      </c>
      <c r="G81" s="162" t="s">
        <v>449</v>
      </c>
      <c r="H81" s="140">
        <f>44000</f>
        <v>44000</v>
      </c>
      <c r="I81" s="140"/>
      <c r="J81" s="71">
        <v>44323</v>
      </c>
      <c r="K81" s="135" t="s">
        <v>35</v>
      </c>
    </row>
    <row r="82" spans="1:11" ht="39.950000000000003" customHeight="1">
      <c r="A82" s="27">
        <v>7</v>
      </c>
      <c r="B82" s="10" t="s">
        <v>450</v>
      </c>
      <c r="C82" s="19">
        <v>11000000</v>
      </c>
      <c r="D82" s="7" t="s">
        <v>140</v>
      </c>
      <c r="E82" s="63"/>
      <c r="F82" s="191">
        <v>7</v>
      </c>
      <c r="G82" s="162" t="s">
        <v>451</v>
      </c>
      <c r="H82" s="66">
        <f>304628771</f>
        <v>304628771</v>
      </c>
      <c r="I82" s="161">
        <v>280000000</v>
      </c>
      <c r="J82" s="8">
        <v>44326</v>
      </c>
      <c r="K82" s="86"/>
    </row>
    <row r="83" spans="1:11" ht="39.950000000000003" customHeight="1">
      <c r="A83" s="27">
        <v>8</v>
      </c>
      <c r="B83" s="10" t="s">
        <v>452</v>
      </c>
      <c r="C83" s="19">
        <v>32670000</v>
      </c>
      <c r="D83" s="139" t="s">
        <v>140</v>
      </c>
      <c r="E83" s="63"/>
      <c r="F83" s="191">
        <v>8</v>
      </c>
      <c r="G83" s="162" t="s">
        <v>453</v>
      </c>
      <c r="H83" s="9">
        <f>8333333</f>
        <v>8333333</v>
      </c>
      <c r="I83" s="158">
        <f>H83-(H83*3.3%)</f>
        <v>8058333.0109999999</v>
      </c>
      <c r="J83" s="8" t="s">
        <v>35</v>
      </c>
      <c r="K83" s="86"/>
    </row>
    <row r="84" spans="1:11" ht="39.950000000000003" customHeight="1">
      <c r="A84" s="27">
        <v>9</v>
      </c>
      <c r="B84" s="10" t="s">
        <v>454</v>
      </c>
      <c r="C84" s="19">
        <v>10725000</v>
      </c>
      <c r="D84" s="7" t="s">
        <v>140</v>
      </c>
      <c r="E84" s="63"/>
      <c r="F84" s="191">
        <v>9</v>
      </c>
      <c r="G84" s="162" t="s">
        <v>455</v>
      </c>
      <c r="H84" s="7">
        <v>5500000</v>
      </c>
      <c r="I84" s="158">
        <f t="shared" ref="I84:I85" si="0">H84-(H84*3.3%)</f>
        <v>5318500</v>
      </c>
      <c r="J84" s="8" t="s">
        <v>35</v>
      </c>
      <c r="K84" s="86"/>
    </row>
    <row r="85" spans="1:11" ht="39.950000000000003" customHeight="1">
      <c r="A85" s="27">
        <v>10</v>
      </c>
      <c r="B85" s="10" t="s">
        <v>456</v>
      </c>
      <c r="C85" s="19">
        <f>4900000*1.1</f>
        <v>5390000</v>
      </c>
      <c r="D85" s="7" t="s">
        <v>140</v>
      </c>
      <c r="E85" s="63"/>
      <c r="F85" s="191">
        <v>10</v>
      </c>
      <c r="G85" s="162" t="s">
        <v>457</v>
      </c>
      <c r="H85" s="66">
        <f>6000000</f>
        <v>6000000</v>
      </c>
      <c r="I85" s="158">
        <f t="shared" si="0"/>
        <v>5802000</v>
      </c>
      <c r="J85" s="8" t="s">
        <v>35</v>
      </c>
      <c r="K85" s="86"/>
    </row>
    <row r="86" spans="1:11" ht="39.950000000000003" customHeight="1">
      <c r="A86" s="27">
        <v>11</v>
      </c>
      <c r="B86" s="10" t="s">
        <v>458</v>
      </c>
      <c r="C86" s="19">
        <v>25277749</v>
      </c>
      <c r="D86" s="7" t="s">
        <v>140</v>
      </c>
      <c r="E86" s="63"/>
      <c r="F86" s="191">
        <v>11</v>
      </c>
      <c r="G86" s="162" t="s">
        <v>459</v>
      </c>
      <c r="H86" s="7">
        <v>4500000</v>
      </c>
      <c r="I86" s="158">
        <f>H86-(H86*3.3%)</f>
        <v>4351500</v>
      </c>
      <c r="J86" s="106" t="s">
        <v>35</v>
      </c>
      <c r="K86" s="229"/>
    </row>
    <row r="87" spans="1:11" ht="39.950000000000003" customHeight="1">
      <c r="A87" s="4"/>
      <c r="B87" s="10"/>
      <c r="C87" s="19"/>
      <c r="D87" s="7"/>
      <c r="E87" s="63"/>
      <c r="F87" s="191">
        <v>12</v>
      </c>
      <c r="G87" s="162" t="s">
        <v>460</v>
      </c>
      <c r="H87" s="7">
        <v>6000000</v>
      </c>
      <c r="I87" s="158">
        <f>H87-(H87*3.3%)</f>
        <v>5802000</v>
      </c>
      <c r="J87" s="106" t="s">
        <v>35</v>
      </c>
      <c r="K87" s="229"/>
    </row>
    <row r="88" spans="1:11" ht="39.950000000000003" customHeight="1">
      <c r="A88" s="27"/>
      <c r="B88" s="10"/>
      <c r="C88" s="19"/>
      <c r="D88" s="7"/>
      <c r="E88" s="63"/>
      <c r="F88" s="191">
        <v>13</v>
      </c>
      <c r="G88" s="162" t="s">
        <v>461</v>
      </c>
      <c r="H88" s="7">
        <f>4000000</f>
        <v>4000000</v>
      </c>
      <c r="I88" s="158">
        <f t="shared" ref="I88:I93" si="1">H88-(H88*3.3%)</f>
        <v>3868000</v>
      </c>
      <c r="J88" s="106" t="s">
        <v>35</v>
      </c>
      <c r="K88" s="86"/>
    </row>
    <row r="89" spans="1:11" ht="39.950000000000003" customHeight="1">
      <c r="A89" s="75"/>
      <c r="B89" s="10"/>
      <c r="C89" s="19"/>
      <c r="D89" s="7"/>
      <c r="E89" s="63"/>
      <c r="F89" s="191">
        <v>14</v>
      </c>
      <c r="G89" s="162" t="s">
        <v>462</v>
      </c>
      <c r="H89" s="7">
        <v>4000000</v>
      </c>
      <c r="I89" s="158">
        <f t="shared" si="1"/>
        <v>3868000</v>
      </c>
      <c r="J89" s="106" t="s">
        <v>35</v>
      </c>
      <c r="K89" s="86" t="s">
        <v>463</v>
      </c>
    </row>
    <row r="90" spans="1:11" ht="39.950000000000003" customHeight="1">
      <c r="A90" s="4"/>
      <c r="B90" s="10"/>
      <c r="C90" s="19"/>
      <c r="D90" s="7"/>
      <c r="E90" s="63"/>
      <c r="F90" s="191">
        <v>15</v>
      </c>
      <c r="G90" s="162" t="s">
        <v>464</v>
      </c>
      <c r="H90" s="7">
        <v>4300000</v>
      </c>
      <c r="I90" s="158">
        <f t="shared" si="1"/>
        <v>4158100</v>
      </c>
      <c r="J90" s="106" t="s">
        <v>35</v>
      </c>
      <c r="K90" s="229"/>
    </row>
    <row r="91" spans="1:11" ht="39.950000000000003" customHeight="1">
      <c r="A91" s="4"/>
      <c r="B91" s="10"/>
      <c r="C91" s="19"/>
      <c r="D91" s="7"/>
      <c r="E91" s="63"/>
      <c r="F91" s="191">
        <v>16</v>
      </c>
      <c r="G91" s="162" t="s">
        <v>465</v>
      </c>
      <c r="H91" s="9">
        <v>6500000</v>
      </c>
      <c r="I91" s="158">
        <f t="shared" si="1"/>
        <v>6285500</v>
      </c>
      <c r="J91" s="8" t="s">
        <v>35</v>
      </c>
      <c r="K91" s="282" t="s">
        <v>466</v>
      </c>
    </row>
    <row r="92" spans="1:11" ht="39.950000000000003" customHeight="1">
      <c r="A92" s="4"/>
      <c r="B92" s="10"/>
      <c r="C92" s="19"/>
      <c r="D92" s="7"/>
      <c r="E92" s="63"/>
      <c r="F92" s="191">
        <v>17</v>
      </c>
      <c r="G92" s="162" t="s">
        <v>467</v>
      </c>
      <c r="H92" s="165">
        <f>5500000</f>
        <v>5500000</v>
      </c>
      <c r="I92" s="158">
        <f t="shared" si="1"/>
        <v>5318500</v>
      </c>
      <c r="J92" s="106" t="s">
        <v>35</v>
      </c>
      <c r="K92" s="298"/>
    </row>
    <row r="93" spans="1:11" ht="39.950000000000003" customHeight="1">
      <c r="A93" s="4"/>
      <c r="B93" s="10"/>
      <c r="C93" s="19"/>
      <c r="D93" s="7"/>
      <c r="E93" s="63"/>
      <c r="F93" s="191">
        <v>18</v>
      </c>
      <c r="G93" s="162" t="s">
        <v>468</v>
      </c>
      <c r="H93" s="7">
        <f>6000000</f>
        <v>6000000</v>
      </c>
      <c r="I93" s="158">
        <f t="shared" si="1"/>
        <v>5802000</v>
      </c>
      <c r="J93" s="106" t="s">
        <v>35</v>
      </c>
      <c r="K93" s="298"/>
    </row>
    <row r="94" spans="1:11" ht="39.950000000000003" customHeight="1">
      <c r="A94" s="107"/>
      <c r="B94" s="108"/>
      <c r="C94" s="109"/>
      <c r="D94" s="110"/>
      <c r="E94" s="111"/>
      <c r="F94" s="191">
        <v>19</v>
      </c>
      <c r="G94" s="162" t="s">
        <v>469</v>
      </c>
      <c r="H94" s="7">
        <v>6500000</v>
      </c>
      <c r="I94" s="158">
        <f>H94-(H94*3.3%)</f>
        <v>6285500</v>
      </c>
      <c r="J94" s="106" t="s">
        <v>35</v>
      </c>
      <c r="K94" s="86"/>
    </row>
    <row r="95" spans="1:11" ht="39.950000000000003" customHeight="1">
      <c r="A95" s="107"/>
      <c r="B95" s="108"/>
      <c r="C95" s="109"/>
      <c r="D95" s="110"/>
      <c r="E95" s="111"/>
      <c r="F95" s="191">
        <v>20</v>
      </c>
      <c r="G95" s="162" t="s">
        <v>470</v>
      </c>
      <c r="H95" s="165">
        <v>6800000</v>
      </c>
      <c r="I95" s="158">
        <f>H95-(H95*3.3%)</f>
        <v>6575600</v>
      </c>
      <c r="J95" s="106" t="s">
        <v>35</v>
      </c>
      <c r="K95" s="86"/>
    </row>
    <row r="96" spans="1:11" ht="39.950000000000003" customHeight="1">
      <c r="A96" s="107"/>
      <c r="B96" s="108"/>
      <c r="C96" s="109"/>
      <c r="D96" s="110"/>
      <c r="E96" s="111"/>
      <c r="F96" s="191">
        <v>21</v>
      </c>
      <c r="G96" s="162" t="s">
        <v>471</v>
      </c>
      <c r="H96" s="165">
        <v>5800000</v>
      </c>
      <c r="I96" s="158">
        <f>H96-(H96*3.3%)</f>
        <v>5608600</v>
      </c>
      <c r="J96" s="106" t="s">
        <v>35</v>
      </c>
      <c r="K96" s="86"/>
    </row>
    <row r="97" spans="1:11" ht="39.950000000000003" customHeight="1">
      <c r="A97" s="4"/>
      <c r="B97" s="10"/>
      <c r="C97" s="19"/>
      <c r="D97" s="7"/>
      <c r="E97" s="63"/>
      <c r="F97" s="191">
        <v>22</v>
      </c>
      <c r="G97" s="162" t="s">
        <v>472</v>
      </c>
      <c r="H97" s="7">
        <v>2933333</v>
      </c>
      <c r="I97" s="158">
        <f>H97-(H97*3.3%)</f>
        <v>2836533.0109999999</v>
      </c>
      <c r="J97" s="106" t="s">
        <v>35</v>
      </c>
      <c r="K97" s="320" t="s">
        <v>473</v>
      </c>
    </row>
    <row r="98" spans="1:11" ht="39.950000000000003" customHeight="1">
      <c r="A98" s="107"/>
      <c r="B98" s="108"/>
      <c r="C98" s="109"/>
      <c r="D98" s="110"/>
      <c r="E98" s="111"/>
      <c r="F98" s="191">
        <v>23</v>
      </c>
      <c r="G98" s="162" t="s">
        <v>474</v>
      </c>
      <c r="H98" s="7">
        <v>4266667</v>
      </c>
      <c r="I98" s="158">
        <f>H98-(H98*3.3%)</f>
        <v>4125866.9890000001</v>
      </c>
      <c r="J98" s="106" t="s">
        <v>35</v>
      </c>
      <c r="K98" s="320" t="s">
        <v>475</v>
      </c>
    </row>
    <row r="99" spans="1:11" ht="39.950000000000003" customHeight="1">
      <c r="A99" s="107"/>
      <c r="B99" s="108"/>
      <c r="C99" s="109"/>
      <c r="D99" s="110"/>
      <c r="E99" s="111"/>
      <c r="F99" s="191">
        <v>24</v>
      </c>
      <c r="G99" s="181" t="s">
        <v>230</v>
      </c>
      <c r="H99" s="7">
        <v>8690000</v>
      </c>
      <c r="I99" s="159">
        <v>8690000</v>
      </c>
      <c r="J99" s="106" t="s">
        <v>35</v>
      </c>
      <c r="K99" s="86"/>
    </row>
    <row r="100" spans="1:11" ht="39.950000000000003" customHeight="1">
      <c r="A100" s="107"/>
      <c r="B100" s="108"/>
      <c r="C100" s="109"/>
      <c r="D100" s="110"/>
      <c r="E100" s="111"/>
      <c r="F100" s="191">
        <v>25</v>
      </c>
      <c r="G100" s="182" t="s">
        <v>476</v>
      </c>
      <c r="H100" s="82">
        <v>5610000</v>
      </c>
      <c r="I100" s="160">
        <v>5610000</v>
      </c>
      <c r="J100" s="106" t="s">
        <v>35</v>
      </c>
      <c r="K100" s="86"/>
    </row>
    <row r="101" spans="1:11" ht="39.950000000000003" customHeight="1">
      <c r="A101" s="107"/>
      <c r="B101" s="108"/>
      <c r="C101" s="109"/>
      <c r="D101" s="110"/>
      <c r="E101" s="111"/>
      <c r="F101" s="191">
        <v>26</v>
      </c>
      <c r="G101" s="182" t="s">
        <v>477</v>
      </c>
      <c r="H101" s="82">
        <f>4700000*1.1</f>
        <v>5170000</v>
      </c>
      <c r="I101" s="160">
        <f>4700000*1.1</f>
        <v>5170000</v>
      </c>
      <c r="J101" s="106" t="s">
        <v>35</v>
      </c>
      <c r="K101" s="86" t="s">
        <v>478</v>
      </c>
    </row>
    <row r="102" spans="1:11" ht="39.950000000000003" customHeight="1">
      <c r="A102" s="107"/>
      <c r="B102" s="108"/>
      <c r="C102" s="109"/>
      <c r="D102" s="110"/>
      <c r="E102" s="111"/>
      <c r="F102" s="191">
        <v>27</v>
      </c>
      <c r="G102" s="182" t="s">
        <v>479</v>
      </c>
      <c r="H102" s="188">
        <v>7700000</v>
      </c>
      <c r="I102" s="160">
        <v>7700000</v>
      </c>
      <c r="J102" s="189" t="s">
        <v>35</v>
      </c>
      <c r="K102" s="86"/>
    </row>
    <row r="103" spans="1:11" ht="39.950000000000003" customHeight="1">
      <c r="A103" s="4"/>
      <c r="B103" s="10"/>
      <c r="C103" s="19"/>
      <c r="D103" s="7"/>
      <c r="E103" s="63"/>
      <c r="F103" s="191">
        <v>28</v>
      </c>
      <c r="G103" s="155" t="s">
        <v>235</v>
      </c>
      <c r="H103" s="70">
        <v>16359180</v>
      </c>
      <c r="I103" s="67"/>
      <c r="J103" s="8" t="s">
        <v>35</v>
      </c>
      <c r="K103" s="8" t="s">
        <v>35</v>
      </c>
    </row>
    <row r="104" spans="1:11" ht="39.950000000000003" customHeight="1">
      <c r="A104" s="4"/>
      <c r="B104" s="10"/>
      <c r="C104" s="19"/>
      <c r="D104" s="7"/>
      <c r="E104" s="63"/>
      <c r="F104" s="191">
        <v>29</v>
      </c>
      <c r="G104" s="155" t="s">
        <v>480</v>
      </c>
      <c r="H104" s="67">
        <v>20494060</v>
      </c>
      <c r="I104" s="67"/>
      <c r="J104" s="8" t="s">
        <v>35</v>
      </c>
      <c r="K104" s="8" t="s">
        <v>35</v>
      </c>
    </row>
    <row r="105" spans="1:11" ht="39.950000000000003" customHeight="1">
      <c r="A105" s="4"/>
      <c r="B105" s="10"/>
      <c r="C105" s="19"/>
      <c r="D105" s="7"/>
      <c r="E105" s="63"/>
      <c r="F105" s="191">
        <v>30</v>
      </c>
      <c r="G105" s="155" t="s">
        <v>481</v>
      </c>
      <c r="H105" s="67">
        <v>25075300</v>
      </c>
      <c r="I105" s="67"/>
      <c r="J105" s="8" t="s">
        <v>35</v>
      </c>
      <c r="K105" s="8" t="s">
        <v>35</v>
      </c>
    </row>
    <row r="106" spans="1:11" ht="39.950000000000003" customHeight="1">
      <c r="A106" s="4"/>
      <c r="B106" s="10"/>
      <c r="C106" s="19"/>
      <c r="D106" s="7"/>
      <c r="E106" s="63"/>
      <c r="F106" s="191">
        <v>31</v>
      </c>
      <c r="G106" s="155" t="s">
        <v>482</v>
      </c>
      <c r="H106" s="67">
        <v>5965880</v>
      </c>
      <c r="I106" s="67"/>
      <c r="J106" s="8" t="s">
        <v>35</v>
      </c>
      <c r="K106" s="8" t="s">
        <v>35</v>
      </c>
    </row>
    <row r="107" spans="1:11" ht="39.950000000000003" customHeight="1">
      <c r="A107" s="4"/>
      <c r="B107" s="10"/>
      <c r="C107" s="19"/>
      <c r="D107" s="7"/>
      <c r="E107" s="63"/>
      <c r="F107" s="191">
        <v>32</v>
      </c>
      <c r="G107" s="155" t="s">
        <v>483</v>
      </c>
      <c r="H107" s="67">
        <v>2077910</v>
      </c>
      <c r="I107" s="67"/>
      <c r="J107" s="8" t="s">
        <v>35</v>
      </c>
      <c r="K107" s="8" t="s">
        <v>35</v>
      </c>
    </row>
    <row r="108" spans="1:11" ht="39.950000000000003" customHeight="1">
      <c r="A108" s="4"/>
      <c r="B108" s="10"/>
      <c r="C108" s="19"/>
      <c r="D108" s="7"/>
      <c r="E108" s="63"/>
      <c r="F108" s="191">
        <v>33</v>
      </c>
      <c r="G108" s="155" t="s">
        <v>484</v>
      </c>
      <c r="H108" s="321">
        <v>25670580</v>
      </c>
      <c r="I108" s="67"/>
      <c r="J108" s="8" t="s">
        <v>35</v>
      </c>
      <c r="K108" s="8" t="s">
        <v>35</v>
      </c>
    </row>
    <row r="109" spans="1:11" ht="39.950000000000003" customHeight="1" thickBot="1">
      <c r="A109" s="4"/>
      <c r="B109" s="22"/>
      <c r="C109" s="19"/>
      <c r="D109" s="7"/>
      <c r="E109" s="63"/>
      <c r="F109" s="191">
        <v>34</v>
      </c>
      <c r="G109" s="155" t="s">
        <v>485</v>
      </c>
      <c r="H109" s="67">
        <v>3500000</v>
      </c>
      <c r="I109" s="67"/>
      <c r="J109" s="8" t="s">
        <v>35</v>
      </c>
      <c r="K109" s="8" t="s">
        <v>35</v>
      </c>
    </row>
    <row r="110" spans="1:11" ht="39.950000000000003" customHeight="1" thickTop="1" thickBot="1">
      <c r="A110" s="30"/>
      <c r="B110" s="31" t="s">
        <v>72</v>
      </c>
      <c r="C110" s="34">
        <f>SUM(C80:C93)</f>
        <v>108107749</v>
      </c>
      <c r="D110" s="43"/>
      <c r="E110" s="62"/>
      <c r="F110" s="30"/>
      <c r="G110" s="31" t="s">
        <v>72</v>
      </c>
      <c r="H110" s="34">
        <f>SUM(H76:H109)</f>
        <v>525723428</v>
      </c>
      <c r="I110" s="34">
        <f>SUM(H76:H81,I82:I102,H103:H109)</f>
        <v>498225857.01099998</v>
      </c>
      <c r="J110" s="47" t="s">
        <v>73</v>
      </c>
      <c r="K110" s="62"/>
    </row>
    <row r="111" spans="1:11" ht="39.950000000000003" customHeight="1">
      <c r="A111" s="2"/>
      <c r="B111" s="2"/>
      <c r="C111" s="2"/>
      <c r="D111" s="2"/>
      <c r="E111" s="2"/>
      <c r="F111" s="2"/>
      <c r="G111" s="2"/>
      <c r="H111" s="2"/>
      <c r="I111" s="2"/>
      <c r="J111" s="3"/>
      <c r="K111" s="3"/>
    </row>
  </sheetData>
  <mergeCells count="17">
    <mergeCell ref="A2:K3"/>
    <mergeCell ref="A5:J5"/>
    <mergeCell ref="A6:G6"/>
    <mergeCell ref="A7:B7"/>
    <mergeCell ref="C7:E7"/>
    <mergeCell ref="F7:G7"/>
    <mergeCell ref="H7:K7"/>
    <mergeCell ref="A73:G73"/>
    <mergeCell ref="A74:E74"/>
    <mergeCell ref="F74:K74"/>
    <mergeCell ref="A8:B9"/>
    <mergeCell ref="C8:E9"/>
    <mergeCell ref="F8:G9"/>
    <mergeCell ref="H8:K9"/>
    <mergeCell ref="A11:G11"/>
    <mergeCell ref="A12:E12"/>
    <mergeCell ref="F12:K12"/>
  </mergeCells>
  <phoneticPr fontId="2" type="noConversion"/>
  <pageMargins left="0.19685039370078741" right="0" top="0.39370078740157483" bottom="0" header="0.31496062992125984" footer="0.31496062992125984"/>
  <pageSetup paperSize="9" scale="37" orientation="portrait" r:id="rId1"/>
  <rowBreaks count="2" manualBreakCount="2">
    <brk id="51" max="10" man="1"/>
    <brk id="72" min="3" max="10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40C0D-A5F8-4FE9-B71F-625E967A461E}">
  <sheetPr>
    <tabColor rgb="FF00B0F0"/>
  </sheetPr>
  <dimension ref="A1:L68"/>
  <sheetViews>
    <sheetView view="pageBreakPreview" topLeftCell="A21" zoomScale="85" zoomScaleNormal="100" zoomScaleSheetLayoutView="85" workbookViewId="0">
      <selection activeCell="B14" sqref="B14"/>
    </sheetView>
  </sheetViews>
  <sheetFormatPr defaultRowHeight="16.5"/>
  <cols>
    <col min="1" max="1" width="4.5" customWidth="1"/>
    <col min="2" max="2" width="54.5" customWidth="1"/>
    <col min="3" max="4" width="17.125" customWidth="1"/>
    <col min="5" max="5" width="23.25" customWidth="1"/>
    <col min="6" max="6" width="4.5" customWidth="1"/>
    <col min="7" max="7" width="62.375" customWidth="1"/>
    <col min="8" max="9" width="17.25" customWidth="1"/>
    <col min="10" max="10" width="17.25" style="13" customWidth="1"/>
    <col min="11" max="11" width="27.5" style="13" customWidth="1"/>
  </cols>
  <sheetData>
    <row r="1" spans="1:12" ht="36.75" customHeight="1"/>
    <row r="2" spans="1:12" ht="21.95" customHeight="1">
      <c r="A2" s="811" t="s">
        <v>14</v>
      </c>
      <c r="B2" s="811"/>
      <c r="C2" s="811"/>
      <c r="D2" s="811"/>
      <c r="E2" s="811"/>
      <c r="F2" s="811"/>
      <c r="G2" s="811"/>
      <c r="H2" s="811"/>
      <c r="I2" s="811"/>
      <c r="J2" s="811"/>
      <c r="K2" s="811"/>
    </row>
    <row r="3" spans="1:12" ht="12" customHeight="1">
      <c r="A3" s="811"/>
      <c r="B3" s="811"/>
      <c r="C3" s="811"/>
      <c r="D3" s="811"/>
      <c r="E3" s="811"/>
      <c r="F3" s="811"/>
      <c r="G3" s="811"/>
      <c r="H3" s="811"/>
      <c r="I3" s="811"/>
      <c r="J3" s="811"/>
      <c r="K3" s="811"/>
    </row>
    <row r="4" spans="1:12" ht="21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2" ht="18" customHeight="1">
      <c r="A5" s="818" t="s">
        <v>486</v>
      </c>
      <c r="B5" s="818"/>
      <c r="C5" s="818"/>
      <c r="D5" s="818"/>
      <c r="E5" s="818"/>
      <c r="F5" s="818"/>
      <c r="G5" s="818"/>
      <c r="H5" s="818"/>
      <c r="I5" s="818"/>
      <c r="J5" s="818"/>
      <c r="K5" s="689"/>
    </row>
    <row r="6" spans="1:12" ht="18" customHeight="1" thickBot="1">
      <c r="A6" s="818" t="s">
        <v>16</v>
      </c>
      <c r="B6" s="819"/>
      <c r="C6" s="819"/>
      <c r="D6" s="819"/>
      <c r="E6" s="819"/>
      <c r="F6" s="819"/>
      <c r="G6" s="819"/>
      <c r="H6" s="690"/>
      <c r="I6" s="690"/>
      <c r="J6" s="3"/>
      <c r="K6" s="3"/>
    </row>
    <row r="7" spans="1:12" ht="27.75" customHeight="1" thickBot="1">
      <c r="A7" s="843" t="s">
        <v>17</v>
      </c>
      <c r="B7" s="844"/>
      <c r="C7" s="837" t="s">
        <v>18</v>
      </c>
      <c r="D7" s="828"/>
      <c r="E7" s="838"/>
      <c r="F7" s="837" t="s">
        <v>19</v>
      </c>
      <c r="G7" s="838"/>
      <c r="H7" s="828" t="s">
        <v>20</v>
      </c>
      <c r="I7" s="828"/>
      <c r="J7" s="828"/>
      <c r="K7" s="829"/>
    </row>
    <row r="8" spans="1:12" ht="18" customHeight="1" thickTop="1" thickBot="1">
      <c r="A8" s="824">
        <v>90798792.01700002</v>
      </c>
      <c r="B8" s="825"/>
      <c r="C8" s="812">
        <f>C35</f>
        <v>72833515</v>
      </c>
      <c r="D8" s="813"/>
      <c r="E8" s="814"/>
      <c r="F8" s="839">
        <f>SUM(H35)</f>
        <v>7817477</v>
      </c>
      <c r="G8" s="840"/>
      <c r="H8" s="830">
        <f>SUM(A8:E9)-F8</f>
        <v>155814830.01700002</v>
      </c>
      <c r="I8" s="830"/>
      <c r="J8" s="830"/>
      <c r="K8" s="831"/>
    </row>
    <row r="9" spans="1:12" ht="22.5" customHeight="1" thickTop="1" thickBot="1">
      <c r="A9" s="826"/>
      <c r="B9" s="827"/>
      <c r="C9" s="815"/>
      <c r="D9" s="816"/>
      <c r="E9" s="817"/>
      <c r="F9" s="841"/>
      <c r="G9" s="842"/>
      <c r="H9" s="832"/>
      <c r="I9" s="832"/>
      <c r="J9" s="832"/>
      <c r="K9" s="833"/>
    </row>
    <row r="10" spans="1:12" ht="18" customHeight="1">
      <c r="A10" s="689"/>
      <c r="B10" s="690"/>
      <c r="C10" s="690"/>
      <c r="D10" s="690"/>
      <c r="E10" s="690"/>
      <c r="F10" s="690"/>
      <c r="G10" s="690"/>
      <c r="H10" s="690"/>
      <c r="I10" s="690"/>
      <c r="J10" s="23"/>
      <c r="K10" s="23"/>
    </row>
    <row r="11" spans="1:12" ht="32.25" customHeight="1" thickBot="1">
      <c r="A11" s="818" t="s">
        <v>21</v>
      </c>
      <c r="B11" s="819"/>
      <c r="C11" s="819"/>
      <c r="D11" s="819"/>
      <c r="E11" s="819"/>
      <c r="F11" s="819"/>
      <c r="G11" s="819"/>
      <c r="H11" s="690"/>
      <c r="I11" s="690"/>
      <c r="J11" s="3"/>
      <c r="K11" s="3"/>
    </row>
    <row r="12" spans="1:12" ht="39.950000000000003" customHeight="1" thickBot="1">
      <c r="A12" s="851" t="s">
        <v>487</v>
      </c>
      <c r="B12" s="852"/>
      <c r="C12" s="852"/>
      <c r="D12" s="852"/>
      <c r="E12" s="853"/>
      <c r="F12" s="851" t="s">
        <v>487</v>
      </c>
      <c r="G12" s="852"/>
      <c r="H12" s="852"/>
      <c r="I12" s="852"/>
      <c r="J12" s="852"/>
      <c r="K12" s="853"/>
    </row>
    <row r="13" spans="1:12" ht="39.950000000000003" customHeight="1" thickBot="1">
      <c r="A13" s="25" t="s">
        <v>24</v>
      </c>
      <c r="B13" s="28" t="s">
        <v>25</v>
      </c>
      <c r="C13" s="26" t="s">
        <v>108</v>
      </c>
      <c r="D13" s="26" t="s">
        <v>27</v>
      </c>
      <c r="E13" s="48" t="s">
        <v>10</v>
      </c>
      <c r="F13" s="25" t="s">
        <v>24</v>
      </c>
      <c r="G13" s="28" t="s">
        <v>25</v>
      </c>
      <c r="H13" s="26" t="s">
        <v>26</v>
      </c>
      <c r="I13" s="26"/>
      <c r="J13" s="26" t="s">
        <v>27</v>
      </c>
      <c r="K13" s="48" t="s">
        <v>10</v>
      </c>
    </row>
    <row r="14" spans="1:12" ht="39.950000000000003" customHeight="1" thickTop="1">
      <c r="A14" s="4">
        <v>1</v>
      </c>
      <c r="B14" s="207" t="s">
        <v>441</v>
      </c>
      <c r="C14" s="19">
        <f>661515</f>
        <v>661515</v>
      </c>
      <c r="D14" s="118" t="s">
        <v>442</v>
      </c>
      <c r="E14" s="63" t="s">
        <v>30</v>
      </c>
      <c r="F14" s="318">
        <v>1</v>
      </c>
      <c r="G14" s="311" t="s">
        <v>151</v>
      </c>
      <c r="H14" s="307">
        <f>4160000+20856</f>
        <v>4180856</v>
      </c>
      <c r="I14" s="307"/>
      <c r="J14" s="325">
        <v>44319</v>
      </c>
      <c r="K14" s="319" t="s">
        <v>253</v>
      </c>
      <c r="L14" s="6"/>
    </row>
    <row r="15" spans="1:12" ht="39.950000000000003" customHeight="1">
      <c r="A15" s="4">
        <v>2</v>
      </c>
      <c r="B15" s="10" t="s">
        <v>446</v>
      </c>
      <c r="C15" s="19">
        <v>8712000</v>
      </c>
      <c r="D15" s="10" t="s">
        <v>488</v>
      </c>
      <c r="E15" s="63" t="s">
        <v>35</v>
      </c>
      <c r="F15" s="191">
        <v>2</v>
      </c>
      <c r="G15" s="162" t="s">
        <v>489</v>
      </c>
      <c r="H15" s="267">
        <f>500000</f>
        <v>500000</v>
      </c>
      <c r="I15" s="267"/>
      <c r="J15" s="106">
        <v>44320</v>
      </c>
      <c r="K15" s="326" t="s">
        <v>490</v>
      </c>
      <c r="L15" s="6"/>
    </row>
    <row r="16" spans="1:12" ht="39.950000000000003" customHeight="1">
      <c r="A16" s="4">
        <v>3</v>
      </c>
      <c r="B16" s="10" t="s">
        <v>491</v>
      </c>
      <c r="C16" s="19">
        <v>10000000</v>
      </c>
      <c r="D16" s="118" t="s">
        <v>35</v>
      </c>
      <c r="E16" s="63" t="s">
        <v>35</v>
      </c>
      <c r="F16" s="191">
        <v>3</v>
      </c>
      <c r="G16" s="162" t="s">
        <v>492</v>
      </c>
      <c r="H16" s="267">
        <f>500000</f>
        <v>500000</v>
      </c>
      <c r="I16" s="267"/>
      <c r="J16" s="246" t="s">
        <v>35</v>
      </c>
      <c r="K16" s="322" t="s">
        <v>35</v>
      </c>
      <c r="L16" s="6"/>
    </row>
    <row r="17" spans="1:12" ht="39.950000000000003" customHeight="1">
      <c r="A17" s="4">
        <v>4</v>
      </c>
      <c r="B17" s="207" t="s">
        <v>493</v>
      </c>
      <c r="C17" s="96">
        <v>50000000</v>
      </c>
      <c r="D17" s="134" t="s">
        <v>35</v>
      </c>
      <c r="E17" s="63" t="s">
        <v>35</v>
      </c>
      <c r="F17" s="191">
        <v>4</v>
      </c>
      <c r="G17" s="162" t="s">
        <v>494</v>
      </c>
      <c r="H17" s="267">
        <f>500000</f>
        <v>500000</v>
      </c>
      <c r="I17" s="267"/>
      <c r="J17" s="246" t="s">
        <v>35</v>
      </c>
      <c r="K17" s="322" t="s">
        <v>35</v>
      </c>
      <c r="L17" s="6"/>
    </row>
    <row r="18" spans="1:12" ht="39.950000000000003" customHeight="1">
      <c r="A18" s="4">
        <v>5</v>
      </c>
      <c r="B18" s="5" t="s">
        <v>418</v>
      </c>
      <c r="C18" s="19">
        <v>800000</v>
      </c>
      <c r="D18" s="118" t="s">
        <v>442</v>
      </c>
      <c r="E18" s="63" t="s">
        <v>495</v>
      </c>
      <c r="F18" s="191">
        <v>5</v>
      </c>
      <c r="G18" s="181" t="s">
        <v>252</v>
      </c>
      <c r="H18" s="66">
        <v>589315</v>
      </c>
      <c r="I18" s="66"/>
      <c r="J18" s="106">
        <v>44322</v>
      </c>
      <c r="K18" s="135" t="s">
        <v>35</v>
      </c>
      <c r="L18" s="6"/>
    </row>
    <row r="19" spans="1:12" ht="39.950000000000003" customHeight="1">
      <c r="A19" s="4">
        <v>6</v>
      </c>
      <c r="B19" s="10" t="s">
        <v>418</v>
      </c>
      <c r="C19" s="19">
        <v>1160000</v>
      </c>
      <c r="D19" s="118" t="s">
        <v>35</v>
      </c>
      <c r="E19" s="63"/>
      <c r="F19" s="191">
        <v>6</v>
      </c>
      <c r="G19" s="162" t="s">
        <v>448</v>
      </c>
      <c r="H19" s="140">
        <f>1418800+40000</f>
        <v>1458800</v>
      </c>
      <c r="I19" s="140"/>
      <c r="J19" s="246" t="s">
        <v>35</v>
      </c>
      <c r="K19" s="135" t="s">
        <v>257</v>
      </c>
      <c r="L19" s="6"/>
    </row>
    <row r="20" spans="1:12" ht="39.950000000000003" customHeight="1">
      <c r="A20" s="4">
        <v>7</v>
      </c>
      <c r="B20" s="207" t="s">
        <v>496</v>
      </c>
      <c r="C20" s="96">
        <v>750000</v>
      </c>
      <c r="D20" s="134" t="s">
        <v>497</v>
      </c>
      <c r="E20" s="76"/>
      <c r="F20" s="191">
        <v>7</v>
      </c>
      <c r="G20" s="162" t="s">
        <v>447</v>
      </c>
      <c r="H20" s="140">
        <v>14500</v>
      </c>
      <c r="I20" s="140"/>
      <c r="J20" s="246" t="s">
        <v>35</v>
      </c>
      <c r="K20" s="135" t="s">
        <v>249</v>
      </c>
      <c r="L20" s="6"/>
    </row>
    <row r="21" spans="1:12" ht="39.950000000000003" customHeight="1">
      <c r="A21" s="4">
        <v>8</v>
      </c>
      <c r="B21" s="323" t="s">
        <v>498</v>
      </c>
      <c r="C21" s="80">
        <v>750000</v>
      </c>
      <c r="D21" s="324" t="s">
        <v>35</v>
      </c>
      <c r="E21" s="133"/>
      <c r="F21" s="191">
        <v>8</v>
      </c>
      <c r="G21" s="264" t="s">
        <v>499</v>
      </c>
      <c r="H21" s="352">
        <f>500</f>
        <v>500</v>
      </c>
      <c r="I21" s="352"/>
      <c r="J21" s="353">
        <v>44323</v>
      </c>
      <c r="K21" s="254" t="s">
        <v>500</v>
      </c>
      <c r="L21" s="6"/>
    </row>
    <row r="22" spans="1:12" ht="39.950000000000003" customHeight="1">
      <c r="A22" s="365"/>
      <c r="B22" s="351"/>
      <c r="C22" s="151"/>
      <c r="D22" s="200"/>
      <c r="E22" s="366"/>
      <c r="F22" s="191">
        <v>9</v>
      </c>
      <c r="G22" s="271" t="s">
        <v>501</v>
      </c>
      <c r="H22" s="354">
        <v>29506</v>
      </c>
      <c r="I22" s="354"/>
      <c r="J22" s="272">
        <v>44324</v>
      </c>
      <c r="K22" s="348" t="s">
        <v>253</v>
      </c>
      <c r="L22" s="6"/>
    </row>
    <row r="23" spans="1:12" ht="39.950000000000003" customHeight="1">
      <c r="A23" s="27"/>
      <c r="B23" s="367"/>
      <c r="C23" s="19"/>
      <c r="D23" s="118"/>
      <c r="E23" s="94"/>
      <c r="F23" s="222">
        <v>10</v>
      </c>
      <c r="G23" s="216" t="s">
        <v>449</v>
      </c>
      <c r="H23" s="349">
        <f>44000</f>
        <v>44000</v>
      </c>
      <c r="I23" s="349"/>
      <c r="J23" s="44">
        <v>44323</v>
      </c>
      <c r="K23" s="350" t="s">
        <v>111</v>
      </c>
      <c r="L23" s="6"/>
    </row>
    <row r="24" spans="1:12" ht="39.950000000000003" customHeight="1">
      <c r="A24" s="27"/>
      <c r="B24" s="367"/>
      <c r="C24" s="19"/>
      <c r="D24" s="118"/>
      <c r="E24" s="94"/>
      <c r="F24" s="197">
        <v>11</v>
      </c>
      <c r="G24" s="198" t="s">
        <v>502</v>
      </c>
      <c r="H24" s="360">
        <f>50175</f>
        <v>50175</v>
      </c>
      <c r="I24" s="360"/>
      <c r="J24" s="147">
        <v>44318</v>
      </c>
      <c r="K24" s="361" t="s">
        <v>503</v>
      </c>
      <c r="L24" s="6"/>
    </row>
    <row r="25" spans="1:12" ht="39.950000000000003" customHeight="1">
      <c r="A25" s="27"/>
      <c r="B25" s="367"/>
      <c r="C25" s="19"/>
      <c r="D25" s="118"/>
      <c r="E25" s="94"/>
      <c r="F25" s="191">
        <v>12</v>
      </c>
      <c r="G25" s="181" t="s">
        <v>504</v>
      </c>
      <c r="H25" s="66">
        <f>1424770</f>
        <v>1424770</v>
      </c>
      <c r="I25" s="66"/>
      <c r="J25" s="8">
        <v>44319</v>
      </c>
      <c r="K25" s="362"/>
      <c r="L25" s="6"/>
    </row>
    <row r="26" spans="1:12" ht="39.950000000000003" customHeight="1">
      <c r="A26" s="27"/>
      <c r="B26" s="367"/>
      <c r="C26" s="19"/>
      <c r="D26" s="118"/>
      <c r="E26" s="94"/>
      <c r="F26" s="191">
        <v>13</v>
      </c>
      <c r="G26" s="181" t="s">
        <v>505</v>
      </c>
      <c r="H26" s="66">
        <f>261250</f>
        <v>261250</v>
      </c>
      <c r="I26" s="66"/>
      <c r="J26" s="8" t="s">
        <v>35</v>
      </c>
      <c r="K26" s="362"/>
      <c r="L26" s="6"/>
    </row>
    <row r="27" spans="1:12" ht="39.950000000000003" customHeight="1">
      <c r="A27" s="27"/>
      <c r="B27" s="367"/>
      <c r="C27" s="19"/>
      <c r="D27" s="118"/>
      <c r="E27" s="94"/>
      <c r="F27" s="191">
        <v>14</v>
      </c>
      <c r="G27" s="181" t="s">
        <v>506</v>
      </c>
      <c r="H27" s="66">
        <f>120000</f>
        <v>120000</v>
      </c>
      <c r="I27" s="66"/>
      <c r="J27" s="8" t="s">
        <v>35</v>
      </c>
      <c r="K27" s="362"/>
      <c r="L27" s="6"/>
    </row>
    <row r="28" spans="1:12" ht="39.950000000000003" customHeight="1">
      <c r="A28" s="27"/>
      <c r="B28" s="367"/>
      <c r="C28" s="19"/>
      <c r="D28" s="118"/>
      <c r="E28" s="94"/>
      <c r="F28" s="191">
        <v>15</v>
      </c>
      <c r="G28" s="181" t="s">
        <v>507</v>
      </c>
      <c r="H28" s="66">
        <f>144420</f>
        <v>144420</v>
      </c>
      <c r="I28" s="66"/>
      <c r="J28" s="8">
        <v>44320</v>
      </c>
      <c r="K28" s="362"/>
      <c r="L28" s="6"/>
    </row>
    <row r="29" spans="1:12" ht="39.950000000000003" customHeight="1">
      <c r="A29" s="27"/>
      <c r="B29" s="367"/>
      <c r="C29" s="19"/>
      <c r="D29" s="118"/>
      <c r="E29" s="94"/>
      <c r="F29" s="191">
        <v>16</v>
      </c>
      <c r="G29" s="181" t="s">
        <v>508</v>
      </c>
      <c r="H29" s="66">
        <f>27500</f>
        <v>27500</v>
      </c>
      <c r="I29" s="66"/>
      <c r="J29" s="8" t="s">
        <v>35</v>
      </c>
      <c r="K29" s="362"/>
      <c r="L29" s="6"/>
    </row>
    <row r="30" spans="1:12" ht="39.950000000000003" customHeight="1">
      <c r="A30" s="27"/>
      <c r="B30" s="367"/>
      <c r="C30" s="19"/>
      <c r="D30" s="118"/>
      <c r="E30" s="94"/>
      <c r="F30" s="191">
        <v>17</v>
      </c>
      <c r="G30" s="181" t="s">
        <v>509</v>
      </c>
      <c r="H30" s="66">
        <f>27500</f>
        <v>27500</v>
      </c>
      <c r="I30" s="66"/>
      <c r="J30" s="8" t="s">
        <v>35</v>
      </c>
      <c r="K30" s="362"/>
      <c r="L30" s="6"/>
    </row>
    <row r="31" spans="1:12" ht="39.950000000000003" customHeight="1">
      <c r="A31" s="27"/>
      <c r="B31" s="367"/>
      <c r="C31" s="19"/>
      <c r="D31" s="118"/>
      <c r="E31" s="94"/>
      <c r="F31" s="191">
        <v>18</v>
      </c>
      <c r="G31" s="181" t="s">
        <v>510</v>
      </c>
      <c r="H31" s="66">
        <f>33500</f>
        <v>33500</v>
      </c>
      <c r="I31" s="66"/>
      <c r="J31" s="8">
        <v>44323</v>
      </c>
      <c r="K31" s="362"/>
      <c r="L31" s="6"/>
    </row>
    <row r="32" spans="1:12" ht="39.950000000000003" customHeight="1">
      <c r="A32" s="27"/>
      <c r="B32" s="367"/>
      <c r="C32" s="19"/>
      <c r="D32" s="118"/>
      <c r="E32" s="94"/>
      <c r="F32" s="191">
        <v>19</v>
      </c>
      <c r="G32" s="181" t="s">
        <v>510</v>
      </c>
      <c r="H32" s="66">
        <v>77280</v>
      </c>
      <c r="I32" s="66"/>
      <c r="J32" s="8" t="s">
        <v>35</v>
      </c>
      <c r="K32" s="362"/>
      <c r="L32" s="6"/>
    </row>
    <row r="33" spans="1:12" ht="39.950000000000003" customHeight="1">
      <c r="A33" s="27"/>
      <c r="B33" s="367"/>
      <c r="C33" s="19"/>
      <c r="D33" s="118"/>
      <c r="E33" s="94"/>
      <c r="F33" s="191">
        <v>20</v>
      </c>
      <c r="G33" s="181" t="s">
        <v>511</v>
      </c>
      <c r="H33" s="66">
        <v>1249770</v>
      </c>
      <c r="I33" s="66"/>
      <c r="J33" s="8" t="s">
        <v>35</v>
      </c>
      <c r="K33" s="362"/>
      <c r="L33" s="6"/>
    </row>
    <row r="34" spans="1:12" ht="39.950000000000003" customHeight="1" thickBot="1">
      <c r="A34" s="241"/>
      <c r="B34" s="368"/>
      <c r="C34" s="369"/>
      <c r="D34" s="370"/>
      <c r="E34" s="243"/>
      <c r="F34" s="248">
        <v>21</v>
      </c>
      <c r="G34" s="193" t="s">
        <v>512</v>
      </c>
      <c r="H34" s="363">
        <f>1540000</f>
        <v>1540000</v>
      </c>
      <c r="I34" s="363"/>
      <c r="J34" s="173" t="s">
        <v>35</v>
      </c>
      <c r="K34" s="364"/>
      <c r="L34" s="6"/>
    </row>
    <row r="35" spans="1:12" ht="39.950000000000003" customHeight="1" thickTop="1" thickBot="1">
      <c r="A35" s="30"/>
      <c r="B35" s="31" t="s">
        <v>72</v>
      </c>
      <c r="C35" s="24">
        <f>SUM(C14:C34)</f>
        <v>72833515</v>
      </c>
      <c r="D35" s="43"/>
      <c r="E35" s="62"/>
      <c r="F35" s="59"/>
      <c r="G35" s="31" t="s">
        <v>72</v>
      </c>
      <c r="H35" s="34">
        <f>SUM(H14:H23)</f>
        <v>7817477</v>
      </c>
      <c r="I35" s="34"/>
      <c r="J35" s="47" t="s">
        <v>73</v>
      </c>
      <c r="K35" s="46"/>
    </row>
    <row r="36" spans="1:12" ht="39.950000000000003" customHeight="1" thickBot="1">
      <c r="A36" s="854" t="s">
        <v>74</v>
      </c>
      <c r="B36" s="855"/>
      <c r="C36" s="855"/>
      <c r="D36" s="855"/>
      <c r="E36" s="855"/>
      <c r="F36" s="855"/>
      <c r="G36" s="855"/>
      <c r="H36" s="694"/>
      <c r="I36" s="694"/>
      <c r="J36" s="183"/>
      <c r="K36" s="50"/>
    </row>
    <row r="37" spans="1:12" ht="39.950000000000003" customHeight="1" thickBot="1">
      <c r="A37" s="851" t="s">
        <v>513</v>
      </c>
      <c r="B37" s="852"/>
      <c r="C37" s="852"/>
      <c r="D37" s="852"/>
      <c r="E37" s="853"/>
      <c r="F37" s="851" t="s">
        <v>514</v>
      </c>
      <c r="G37" s="852"/>
      <c r="H37" s="852"/>
      <c r="I37" s="852"/>
      <c r="J37" s="852"/>
      <c r="K37" s="853"/>
    </row>
    <row r="38" spans="1:12" ht="39.950000000000003" customHeight="1" thickBot="1">
      <c r="A38" s="224" t="s">
        <v>24</v>
      </c>
      <c r="B38" s="225" t="s">
        <v>25</v>
      </c>
      <c r="C38" s="226" t="s">
        <v>108</v>
      </c>
      <c r="D38" s="226" t="s">
        <v>27</v>
      </c>
      <c r="E38" s="692" t="s">
        <v>10</v>
      </c>
      <c r="F38" s="276" t="s">
        <v>24</v>
      </c>
      <c r="G38" s="277" t="s">
        <v>25</v>
      </c>
      <c r="H38" s="278" t="s">
        <v>26</v>
      </c>
      <c r="I38" s="278" t="s">
        <v>200</v>
      </c>
      <c r="J38" s="278" t="s">
        <v>27</v>
      </c>
      <c r="K38" s="279" t="s">
        <v>10</v>
      </c>
    </row>
    <row r="39" spans="1:12" ht="39.950000000000003" customHeight="1" thickTop="1">
      <c r="A39" s="4">
        <v>1</v>
      </c>
      <c r="B39" s="10" t="s">
        <v>204</v>
      </c>
      <c r="C39" s="19">
        <v>16500000</v>
      </c>
      <c r="D39" s="139" t="s">
        <v>515</v>
      </c>
      <c r="E39" s="63"/>
      <c r="F39" s="327">
        <v>1</v>
      </c>
      <c r="G39" s="328" t="s">
        <v>451</v>
      </c>
      <c r="H39" s="329">
        <v>305462105</v>
      </c>
      <c r="I39" s="330">
        <v>268827785</v>
      </c>
      <c r="J39" s="331">
        <v>44326</v>
      </c>
      <c r="K39" s="344"/>
    </row>
    <row r="40" spans="1:12" ht="39.950000000000003" customHeight="1">
      <c r="A40" s="4">
        <v>2</v>
      </c>
      <c r="B40" s="10" t="s">
        <v>516</v>
      </c>
      <c r="C40" s="19">
        <v>47685000</v>
      </c>
      <c r="D40" s="139" t="s">
        <v>443</v>
      </c>
      <c r="E40" s="94"/>
      <c r="F40" s="327">
        <v>2</v>
      </c>
      <c r="G40" s="328" t="s">
        <v>453</v>
      </c>
      <c r="H40" s="332">
        <f>8333333</f>
        <v>8333333</v>
      </c>
      <c r="I40" s="333">
        <f>H40-(H40*3.3%)</f>
        <v>8058333.0109999999</v>
      </c>
      <c r="J40" s="331" t="s">
        <v>35</v>
      </c>
      <c r="K40" s="344"/>
    </row>
    <row r="41" spans="1:12" ht="39.950000000000003" customHeight="1">
      <c r="A41" s="4">
        <v>3</v>
      </c>
      <c r="B41" s="11" t="s">
        <v>517</v>
      </c>
      <c r="C41" s="19">
        <f>110000000</f>
        <v>110000000</v>
      </c>
      <c r="D41" s="139" t="s">
        <v>443</v>
      </c>
      <c r="E41" s="63"/>
      <c r="F41" s="327">
        <v>3</v>
      </c>
      <c r="G41" s="328" t="s">
        <v>455</v>
      </c>
      <c r="H41" s="334">
        <v>5500000</v>
      </c>
      <c r="I41" s="333">
        <f t="shared" ref="I41:I42" si="0">H41-(H41*3.3%)</f>
        <v>5318500</v>
      </c>
      <c r="J41" s="331" t="s">
        <v>35</v>
      </c>
      <c r="K41" s="344"/>
    </row>
    <row r="42" spans="1:12" ht="39.950000000000003" customHeight="1">
      <c r="A42" s="4">
        <v>3</v>
      </c>
      <c r="B42" s="10" t="s">
        <v>445</v>
      </c>
      <c r="C42" s="19">
        <v>32670000</v>
      </c>
      <c r="D42" s="10" t="s">
        <v>443</v>
      </c>
      <c r="E42" s="63"/>
      <c r="F42" s="327">
        <v>4</v>
      </c>
      <c r="G42" s="328" t="s">
        <v>457</v>
      </c>
      <c r="H42" s="329">
        <f>6000000</f>
        <v>6000000</v>
      </c>
      <c r="I42" s="333">
        <f t="shared" si="0"/>
        <v>5802000</v>
      </c>
      <c r="J42" s="331" t="s">
        <v>35</v>
      </c>
      <c r="K42" s="344"/>
    </row>
    <row r="43" spans="1:12" ht="39.950000000000003" customHeight="1">
      <c r="A43" s="4">
        <v>4</v>
      </c>
      <c r="B43" s="10" t="s">
        <v>366</v>
      </c>
      <c r="C43" s="19">
        <v>6545000</v>
      </c>
      <c r="D43" s="139" t="s">
        <v>443</v>
      </c>
      <c r="E43" s="63"/>
      <c r="F43" s="327">
        <v>5</v>
      </c>
      <c r="G43" s="328" t="s">
        <v>459</v>
      </c>
      <c r="H43" s="334">
        <v>4500000</v>
      </c>
      <c r="I43" s="333">
        <f>H43-(H43*3.3%)</f>
        <v>4351500</v>
      </c>
      <c r="J43" s="331" t="s">
        <v>35</v>
      </c>
      <c r="K43" s="344"/>
    </row>
    <row r="44" spans="1:12" ht="39.950000000000003" customHeight="1">
      <c r="A44" s="4">
        <v>5</v>
      </c>
      <c r="B44" s="10" t="s">
        <v>450</v>
      </c>
      <c r="C44" s="19">
        <v>11000000</v>
      </c>
      <c r="D44" s="7" t="s">
        <v>140</v>
      </c>
      <c r="E44" s="63"/>
      <c r="F44" s="327">
        <v>6</v>
      </c>
      <c r="G44" s="328" t="s">
        <v>460</v>
      </c>
      <c r="H44" s="334">
        <v>6000000</v>
      </c>
      <c r="I44" s="333">
        <f>H44-(H44*3.3%)</f>
        <v>5802000</v>
      </c>
      <c r="J44" s="331" t="s">
        <v>35</v>
      </c>
      <c r="K44" s="344"/>
    </row>
    <row r="45" spans="1:12" ht="39.950000000000003" customHeight="1">
      <c r="A45" s="4">
        <v>6</v>
      </c>
      <c r="B45" s="10" t="s">
        <v>452</v>
      </c>
      <c r="C45" s="19">
        <v>32670000</v>
      </c>
      <c r="D45" s="139" t="s">
        <v>140</v>
      </c>
      <c r="E45" s="63"/>
      <c r="F45" s="327">
        <v>7</v>
      </c>
      <c r="G45" s="328" t="s">
        <v>461</v>
      </c>
      <c r="H45" s="334">
        <f>4000000</f>
        <v>4000000</v>
      </c>
      <c r="I45" s="333">
        <f t="shared" ref="I45:I50" si="1">H45-(H45*3.3%)</f>
        <v>3868000</v>
      </c>
      <c r="J45" s="331" t="s">
        <v>35</v>
      </c>
      <c r="K45" s="344"/>
    </row>
    <row r="46" spans="1:12" ht="39.950000000000003" customHeight="1">
      <c r="A46" s="4">
        <v>7</v>
      </c>
      <c r="B46" s="10" t="s">
        <v>454</v>
      </c>
      <c r="C46" s="19">
        <v>10725000</v>
      </c>
      <c r="D46" s="7" t="s">
        <v>140</v>
      </c>
      <c r="E46" s="63"/>
      <c r="F46" s="327">
        <v>8</v>
      </c>
      <c r="G46" s="328" t="s">
        <v>462</v>
      </c>
      <c r="H46" s="334">
        <v>4000000</v>
      </c>
      <c r="I46" s="333">
        <f t="shared" si="1"/>
        <v>3868000</v>
      </c>
      <c r="J46" s="331" t="s">
        <v>35</v>
      </c>
      <c r="K46" s="344" t="s">
        <v>463</v>
      </c>
    </row>
    <row r="47" spans="1:12" ht="39.950000000000003" customHeight="1">
      <c r="A47" s="4">
        <v>8</v>
      </c>
      <c r="B47" s="10" t="s">
        <v>456</v>
      </c>
      <c r="C47" s="19">
        <f>4900000*1.1</f>
        <v>5390000</v>
      </c>
      <c r="D47" s="7" t="s">
        <v>140</v>
      </c>
      <c r="E47" s="63"/>
      <c r="F47" s="327">
        <v>9</v>
      </c>
      <c r="G47" s="328" t="s">
        <v>464</v>
      </c>
      <c r="H47" s="334">
        <v>4300000</v>
      </c>
      <c r="I47" s="333">
        <f t="shared" si="1"/>
        <v>4158100</v>
      </c>
      <c r="J47" s="331" t="s">
        <v>35</v>
      </c>
      <c r="K47" s="344" t="s">
        <v>518</v>
      </c>
    </row>
    <row r="48" spans="1:12" ht="39.950000000000003" customHeight="1">
      <c r="A48" s="4">
        <v>9</v>
      </c>
      <c r="B48" s="10" t="s">
        <v>458</v>
      </c>
      <c r="C48" s="19">
        <v>25277749</v>
      </c>
      <c r="D48" s="7" t="s">
        <v>140</v>
      </c>
      <c r="E48" s="63"/>
      <c r="F48" s="327">
        <v>10</v>
      </c>
      <c r="G48" s="328" t="s">
        <v>465</v>
      </c>
      <c r="H48" s="332">
        <v>6500000</v>
      </c>
      <c r="I48" s="333">
        <f t="shared" si="1"/>
        <v>6285500</v>
      </c>
      <c r="J48" s="331" t="s">
        <v>35</v>
      </c>
      <c r="K48" s="345"/>
    </row>
    <row r="49" spans="1:11" ht="39.950000000000003" customHeight="1">
      <c r="A49" s="4">
        <v>10</v>
      </c>
      <c r="B49" s="10" t="s">
        <v>458</v>
      </c>
      <c r="C49" s="19">
        <v>25277749</v>
      </c>
      <c r="D49" s="7" t="s">
        <v>140</v>
      </c>
      <c r="E49" s="63"/>
      <c r="F49" s="327">
        <v>11</v>
      </c>
      <c r="G49" s="328" t="s">
        <v>467</v>
      </c>
      <c r="H49" s="335">
        <f>5500000</f>
        <v>5500000</v>
      </c>
      <c r="I49" s="333">
        <f t="shared" si="1"/>
        <v>5318500</v>
      </c>
      <c r="J49" s="331" t="s">
        <v>35</v>
      </c>
      <c r="K49" s="346"/>
    </row>
    <row r="50" spans="1:11" ht="39.950000000000003" customHeight="1">
      <c r="A50" s="4"/>
      <c r="B50" s="10"/>
      <c r="C50" s="19"/>
      <c r="D50" s="7"/>
      <c r="E50" s="63"/>
      <c r="F50" s="327">
        <v>12</v>
      </c>
      <c r="G50" s="328" t="s">
        <v>468</v>
      </c>
      <c r="H50" s="334">
        <f>6000000</f>
        <v>6000000</v>
      </c>
      <c r="I50" s="333">
        <f t="shared" si="1"/>
        <v>5802000</v>
      </c>
      <c r="J50" s="331" t="s">
        <v>35</v>
      </c>
      <c r="K50" s="346"/>
    </row>
    <row r="51" spans="1:11" ht="39.950000000000003" customHeight="1">
      <c r="A51" s="107"/>
      <c r="B51" s="108"/>
      <c r="C51" s="109"/>
      <c r="D51" s="110"/>
      <c r="E51" s="111"/>
      <c r="F51" s="327">
        <v>13</v>
      </c>
      <c r="G51" s="328" t="s">
        <v>469</v>
      </c>
      <c r="H51" s="334">
        <v>6500000</v>
      </c>
      <c r="I51" s="333">
        <f>H51-(H51*3.3%)</f>
        <v>6285500</v>
      </c>
      <c r="J51" s="331" t="s">
        <v>35</v>
      </c>
      <c r="K51" s="344" t="s">
        <v>518</v>
      </c>
    </row>
    <row r="52" spans="1:11" ht="39.950000000000003" customHeight="1">
      <c r="A52" s="107"/>
      <c r="B52" s="108"/>
      <c r="C52" s="109"/>
      <c r="D52" s="110"/>
      <c r="E52" s="111"/>
      <c r="F52" s="327">
        <v>14</v>
      </c>
      <c r="G52" s="328" t="s">
        <v>470</v>
      </c>
      <c r="H52" s="335">
        <v>6800000</v>
      </c>
      <c r="I52" s="333">
        <f>H52-(H52*3.3%)</f>
        <v>6575600</v>
      </c>
      <c r="J52" s="331" t="s">
        <v>35</v>
      </c>
      <c r="K52" s="344"/>
    </row>
    <row r="53" spans="1:11" ht="39.950000000000003" customHeight="1">
      <c r="A53" s="107"/>
      <c r="B53" s="108"/>
      <c r="C53" s="109"/>
      <c r="D53" s="110"/>
      <c r="E53" s="111"/>
      <c r="F53" s="327">
        <v>15</v>
      </c>
      <c r="G53" s="328" t="s">
        <v>471</v>
      </c>
      <c r="H53" s="335">
        <v>5800000</v>
      </c>
      <c r="I53" s="333">
        <f>H53-(H53*3.3%)</f>
        <v>5608600</v>
      </c>
      <c r="J53" s="331" t="s">
        <v>35</v>
      </c>
      <c r="K53" s="344"/>
    </row>
    <row r="54" spans="1:11" ht="39.950000000000003" customHeight="1">
      <c r="A54" s="4"/>
      <c r="B54" s="10"/>
      <c r="C54" s="19"/>
      <c r="D54" s="7"/>
      <c r="E54" s="63"/>
      <c r="F54" s="327">
        <v>16</v>
      </c>
      <c r="G54" s="328" t="s">
        <v>472</v>
      </c>
      <c r="H54" s="334">
        <v>2933333</v>
      </c>
      <c r="I54" s="333">
        <f>H54-(H54*3.3%)</f>
        <v>2836533.0109999999</v>
      </c>
      <c r="J54" s="331" t="s">
        <v>35</v>
      </c>
      <c r="K54" s="347" t="s">
        <v>473</v>
      </c>
    </row>
    <row r="55" spans="1:11" ht="39.950000000000003" customHeight="1">
      <c r="A55" s="107"/>
      <c r="B55" s="108"/>
      <c r="C55" s="109"/>
      <c r="D55" s="110"/>
      <c r="E55" s="111"/>
      <c r="F55" s="327">
        <v>17</v>
      </c>
      <c r="G55" s="328" t="s">
        <v>474</v>
      </c>
      <c r="H55" s="334">
        <v>4266667</v>
      </c>
      <c r="I55" s="333">
        <f>H55-(H55*3.3%)</f>
        <v>4125866.9890000001</v>
      </c>
      <c r="J55" s="331" t="s">
        <v>35</v>
      </c>
      <c r="K55" s="347" t="s">
        <v>475</v>
      </c>
    </row>
    <row r="56" spans="1:11" ht="39.950000000000003" customHeight="1">
      <c r="A56" s="107"/>
      <c r="B56" s="108"/>
      <c r="C56" s="109"/>
      <c r="D56" s="110"/>
      <c r="E56" s="111"/>
      <c r="F56" s="327">
        <v>18</v>
      </c>
      <c r="G56" s="336" t="s">
        <v>230</v>
      </c>
      <c r="H56" s="334">
        <v>8690000</v>
      </c>
      <c r="I56" s="337">
        <v>8690000</v>
      </c>
      <c r="J56" s="331" t="s">
        <v>35</v>
      </c>
      <c r="K56" s="344"/>
    </row>
    <row r="57" spans="1:11" ht="39.950000000000003" customHeight="1">
      <c r="A57" s="107"/>
      <c r="B57" s="108"/>
      <c r="C57" s="109"/>
      <c r="D57" s="110"/>
      <c r="E57" s="111"/>
      <c r="F57" s="327">
        <v>19</v>
      </c>
      <c r="G57" s="338" t="s">
        <v>476</v>
      </c>
      <c r="H57" s="339">
        <v>5610000</v>
      </c>
      <c r="I57" s="340">
        <v>5610000</v>
      </c>
      <c r="J57" s="331" t="s">
        <v>35</v>
      </c>
      <c r="K57" s="344"/>
    </row>
    <row r="58" spans="1:11" ht="39.950000000000003" customHeight="1">
      <c r="A58" s="107"/>
      <c r="B58" s="108"/>
      <c r="C58" s="109"/>
      <c r="D58" s="110"/>
      <c r="E58" s="111"/>
      <c r="F58" s="327">
        <v>20</v>
      </c>
      <c r="G58" s="338" t="s">
        <v>477</v>
      </c>
      <c r="H58" s="339">
        <f>4700000*1.1</f>
        <v>5170000</v>
      </c>
      <c r="I58" s="340">
        <f>4700000*1.1</f>
        <v>5170000</v>
      </c>
      <c r="J58" s="331" t="s">
        <v>35</v>
      </c>
      <c r="K58" s="344" t="s">
        <v>478</v>
      </c>
    </row>
    <row r="59" spans="1:11" ht="39.950000000000003" customHeight="1">
      <c r="A59" s="107"/>
      <c r="B59" s="108"/>
      <c r="C59" s="109"/>
      <c r="D59" s="110"/>
      <c r="E59" s="111"/>
      <c r="F59" s="327">
        <v>21</v>
      </c>
      <c r="G59" s="338" t="s">
        <v>479</v>
      </c>
      <c r="H59" s="341">
        <v>7700000</v>
      </c>
      <c r="I59" s="340">
        <v>7700000</v>
      </c>
      <c r="J59" s="342" t="s">
        <v>35</v>
      </c>
      <c r="K59" s="344"/>
    </row>
    <row r="60" spans="1:11" ht="39.950000000000003" customHeight="1">
      <c r="A60" s="4"/>
      <c r="B60" s="10"/>
      <c r="C60" s="19"/>
      <c r="D60" s="7"/>
      <c r="E60" s="63"/>
      <c r="F60" s="327">
        <v>22</v>
      </c>
      <c r="G60" s="336" t="s">
        <v>235</v>
      </c>
      <c r="H60" s="343">
        <f>12377900+1478870+2414910+597520</f>
        <v>16869200</v>
      </c>
      <c r="I60" s="343"/>
      <c r="J60" s="331" t="s">
        <v>35</v>
      </c>
      <c r="K60" s="344" t="s">
        <v>35</v>
      </c>
    </row>
    <row r="61" spans="1:11" ht="39.950000000000003" customHeight="1">
      <c r="A61" s="4"/>
      <c r="B61" s="10"/>
      <c r="C61" s="19"/>
      <c r="D61" s="7"/>
      <c r="E61" s="63"/>
      <c r="F61" s="327">
        <v>23</v>
      </c>
      <c r="G61" s="336" t="s">
        <v>480</v>
      </c>
      <c r="H61" s="343">
        <v>20494060</v>
      </c>
      <c r="I61" s="343"/>
      <c r="J61" s="331" t="s">
        <v>35</v>
      </c>
      <c r="K61" s="344" t="s">
        <v>35</v>
      </c>
    </row>
    <row r="62" spans="1:11" ht="39.950000000000003" customHeight="1">
      <c r="A62" s="4"/>
      <c r="B62" s="10"/>
      <c r="C62" s="19"/>
      <c r="D62" s="7"/>
      <c r="E62" s="63"/>
      <c r="F62" s="327">
        <v>24</v>
      </c>
      <c r="G62" s="336" t="s">
        <v>481</v>
      </c>
      <c r="H62" s="343">
        <v>25075300</v>
      </c>
      <c r="I62" s="343"/>
      <c r="J62" s="331" t="s">
        <v>35</v>
      </c>
      <c r="K62" s="344" t="s">
        <v>35</v>
      </c>
    </row>
    <row r="63" spans="1:11" ht="39.950000000000003" customHeight="1">
      <c r="A63" s="4"/>
      <c r="B63" s="10"/>
      <c r="C63" s="19"/>
      <c r="D63" s="7"/>
      <c r="E63" s="63"/>
      <c r="F63" s="327">
        <v>25</v>
      </c>
      <c r="G63" s="336" t="s">
        <v>482</v>
      </c>
      <c r="H63" s="343">
        <v>5965630</v>
      </c>
      <c r="I63" s="343"/>
      <c r="J63" s="331" t="s">
        <v>35</v>
      </c>
      <c r="K63" s="344" t="s">
        <v>35</v>
      </c>
    </row>
    <row r="64" spans="1:11" ht="39.950000000000003" customHeight="1">
      <c r="A64" s="4"/>
      <c r="B64" s="10"/>
      <c r="C64" s="19"/>
      <c r="D64" s="7"/>
      <c r="E64" s="63"/>
      <c r="F64" s="327">
        <v>26</v>
      </c>
      <c r="G64" s="336" t="s">
        <v>483</v>
      </c>
      <c r="H64" s="343">
        <v>2077660</v>
      </c>
      <c r="I64" s="343"/>
      <c r="J64" s="331" t="s">
        <v>35</v>
      </c>
      <c r="K64" s="344" t="s">
        <v>35</v>
      </c>
    </row>
    <row r="65" spans="1:11" ht="39.950000000000003" customHeight="1">
      <c r="A65" s="4"/>
      <c r="B65" s="10"/>
      <c r="C65" s="19"/>
      <c r="D65" s="7"/>
      <c r="E65" s="63"/>
      <c r="F65" s="327">
        <v>27</v>
      </c>
      <c r="G65" s="336" t="s">
        <v>484</v>
      </c>
      <c r="H65" s="371">
        <v>25017430</v>
      </c>
      <c r="I65" s="343"/>
      <c r="J65" s="331" t="s">
        <v>35</v>
      </c>
      <c r="K65" s="344" t="s">
        <v>35</v>
      </c>
    </row>
    <row r="66" spans="1:11" ht="39.950000000000003" customHeight="1" thickBot="1">
      <c r="A66" s="4"/>
      <c r="B66" s="22"/>
      <c r="C66" s="19"/>
      <c r="D66" s="7"/>
      <c r="E66" s="63"/>
      <c r="F66" s="327">
        <v>28</v>
      </c>
      <c r="G66" s="336" t="s">
        <v>485</v>
      </c>
      <c r="H66" s="343">
        <v>3500000</v>
      </c>
      <c r="I66" s="343"/>
      <c r="J66" s="331" t="s">
        <v>35</v>
      </c>
      <c r="K66" s="344" t="s">
        <v>35</v>
      </c>
    </row>
    <row r="67" spans="1:11" ht="39.950000000000003" customHeight="1" thickTop="1" thickBot="1">
      <c r="A67" s="30"/>
      <c r="B67" s="31" t="s">
        <v>72</v>
      </c>
      <c r="C67" s="34">
        <f>SUM(C39:C50)</f>
        <v>323740498</v>
      </c>
      <c r="D67" s="43"/>
      <c r="E67" s="62"/>
      <c r="F67" s="30"/>
      <c r="G67" s="31" t="s">
        <v>72</v>
      </c>
      <c r="H67" s="34">
        <f>SUM(H39:H66)</f>
        <v>518564718</v>
      </c>
      <c r="I67" s="34">
        <f>SUM(I39:I59,H60:H66)</f>
        <v>479061598.01099998</v>
      </c>
      <c r="J67" s="47" t="s">
        <v>73</v>
      </c>
      <c r="K67" s="62"/>
    </row>
    <row r="68" spans="1:11" ht="39.950000000000003" customHeight="1">
      <c r="A68" s="2"/>
      <c r="B68" s="2"/>
      <c r="C68" s="2"/>
      <c r="D68" s="2"/>
      <c r="E68" s="2"/>
      <c r="F68" s="2"/>
      <c r="G68" s="2"/>
      <c r="H68" s="2"/>
      <c r="I68" s="2"/>
      <c r="J68" s="3"/>
      <c r="K68" s="3"/>
    </row>
  </sheetData>
  <mergeCells count="17">
    <mergeCell ref="A36:G36"/>
    <mergeCell ref="A37:E37"/>
    <mergeCell ref="F37:K37"/>
    <mergeCell ref="A8:B9"/>
    <mergeCell ref="C8:E9"/>
    <mergeCell ref="F8:G9"/>
    <mergeCell ref="H8:K9"/>
    <mergeCell ref="A11:G11"/>
    <mergeCell ref="A12:E12"/>
    <mergeCell ref="F12:K12"/>
    <mergeCell ref="A2:K3"/>
    <mergeCell ref="A5:J5"/>
    <mergeCell ref="A6:G6"/>
    <mergeCell ref="A7:B7"/>
    <mergeCell ref="C7:E7"/>
    <mergeCell ref="F7:G7"/>
    <mergeCell ref="H7:K7"/>
  </mergeCells>
  <phoneticPr fontId="2" type="noConversion"/>
  <pageMargins left="0.19685039370078741" right="0" top="0.39370078740157483" bottom="0" header="0.31496062992125984" footer="0.31496062992125984"/>
  <pageSetup paperSize="9" scale="37" orientation="portrait" r:id="rId1"/>
  <rowBreaks count="1" manualBreakCount="1">
    <brk id="35" min="1" max="10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B512E4E326A8634EB3CF5DB96929F172" ma:contentTypeVersion="10" ma:contentTypeDescription="새 문서를 만듭니다." ma:contentTypeScope="" ma:versionID="43ecc8fe280229b13cf62d84fe910fd7">
  <xsd:schema xmlns:xsd="http://www.w3.org/2001/XMLSchema" xmlns:xs="http://www.w3.org/2001/XMLSchema" xmlns:p="http://schemas.microsoft.com/office/2006/metadata/properties" xmlns:ns2="3f86aba3-90d9-4687-929e-1003b0eb7095" targetNamespace="http://schemas.microsoft.com/office/2006/metadata/properties" ma:root="true" ma:fieldsID="2331a2c0622401ede3e309569f919758" ns2:_="">
    <xsd:import namespace="3f86aba3-90d9-4687-929e-1003b0eb70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86aba3-90d9-4687-929e-1003b0eb70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D1EBBBE-0713-4C4C-81F2-FA5E72F1997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708660A-300C-4AE9-AE95-EEF55DF5619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855FF4A-16A2-444D-BFCF-05BE7C0E1B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86aba3-90d9-4687-929e-1003b0eb70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23</vt:i4>
      </vt:variant>
      <vt:variant>
        <vt:lpstr>이름 지정된 범위</vt:lpstr>
      </vt:variant>
      <vt:variant>
        <vt:i4>21</vt:i4>
      </vt:variant>
    </vt:vector>
  </HeadingPairs>
  <TitlesOfParts>
    <vt:vector size="44" baseType="lpstr">
      <vt:lpstr>2021년 입,출금 총현황</vt:lpstr>
      <vt:lpstr>3월19일</vt:lpstr>
      <vt:lpstr>3월26일</vt:lpstr>
      <vt:lpstr>4월2일 </vt:lpstr>
      <vt:lpstr>4월12일 </vt:lpstr>
      <vt:lpstr>4월19일</vt:lpstr>
      <vt:lpstr>4월26일</vt:lpstr>
      <vt:lpstr>5월3일</vt:lpstr>
      <vt:lpstr>5월10일</vt:lpstr>
      <vt:lpstr>5월17일</vt:lpstr>
      <vt:lpstr>5월24일</vt:lpstr>
      <vt:lpstr>5월31일</vt:lpstr>
      <vt:lpstr>6월4일</vt:lpstr>
      <vt:lpstr>6월11일</vt:lpstr>
      <vt:lpstr>6월18일</vt:lpstr>
      <vt:lpstr>6월25일 </vt:lpstr>
      <vt:lpstr>7월9일</vt:lpstr>
      <vt:lpstr>7월16일</vt:lpstr>
      <vt:lpstr>7월23일 </vt:lpstr>
      <vt:lpstr>7월30일</vt:lpstr>
      <vt:lpstr>8월6일</vt:lpstr>
      <vt:lpstr>8월13일</vt:lpstr>
      <vt:lpstr>Sheet1</vt:lpstr>
      <vt:lpstr>'3월19일'!Print_Area</vt:lpstr>
      <vt:lpstr>'3월26일'!Print_Area</vt:lpstr>
      <vt:lpstr>'4월12일 '!Print_Area</vt:lpstr>
      <vt:lpstr>'4월19일'!Print_Area</vt:lpstr>
      <vt:lpstr>'4월26일'!Print_Area</vt:lpstr>
      <vt:lpstr>'4월2일 '!Print_Area</vt:lpstr>
      <vt:lpstr>'5월10일'!Print_Area</vt:lpstr>
      <vt:lpstr>'5월17일'!Print_Area</vt:lpstr>
      <vt:lpstr>'5월24일'!Print_Area</vt:lpstr>
      <vt:lpstr>'5월31일'!Print_Area</vt:lpstr>
      <vt:lpstr>'5월3일'!Print_Area</vt:lpstr>
      <vt:lpstr>'6월11일'!Print_Area</vt:lpstr>
      <vt:lpstr>'6월18일'!Print_Area</vt:lpstr>
      <vt:lpstr>'6월25일 '!Print_Area</vt:lpstr>
      <vt:lpstr>'6월4일'!Print_Area</vt:lpstr>
      <vt:lpstr>'7월16일'!Print_Area</vt:lpstr>
      <vt:lpstr>'7월23일 '!Print_Area</vt:lpstr>
      <vt:lpstr>'7월30일'!Print_Area</vt:lpstr>
      <vt:lpstr>'7월9일'!Print_Area</vt:lpstr>
      <vt:lpstr>'8월13일'!Print_Area</vt:lpstr>
      <vt:lpstr>'8월6일'!Print_Area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cp:lastPrinted>2021-08-17T03:52:11Z</cp:lastPrinted>
  <dcterms:created xsi:type="dcterms:W3CDTF">2021-03-09T02:24:55Z</dcterms:created>
  <dcterms:modified xsi:type="dcterms:W3CDTF">2021-08-17T03:52:15Z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0x010100B512E4E326A8634EB3CF5DB96929F172</vt:lpwstr>
  </property>
</Properties>
</file>