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1"/>
  <workbookPr/>
  <mc:AlternateContent xmlns:mc="http://schemas.openxmlformats.org/markup-compatibility/2006">
    <mc:Choice Requires="x15">
      <x15ac:absPath xmlns:x15ac="http://schemas.microsoft.com/office/spreadsheetml/2010/11/ac" url="/Volumes/GoogleDrive/My Drive/Customer_Projects/National Association of ACOs (NAACOS)/Interactive Savings Loss Table/"/>
    </mc:Choice>
  </mc:AlternateContent>
  <xr:revisionPtr revIDLastSave="0" documentId="13_ncr:1_{3C4D1A98-7D46-9E42-8232-F992D0F41BC1}" xr6:coauthVersionLast="41" xr6:coauthVersionMax="41" xr10:uidLastSave="{00000000-0000-0000-0000-000000000000}"/>
  <bookViews>
    <workbookView xWindow="1700" yWindow="600" windowWidth="30500" windowHeight="17980" tabRatio="500" xr2:uid="{00000000-000D-0000-FFFF-FFFF00000000}"/>
  </bookViews>
  <sheets>
    <sheet name="Introduction" sheetId="4" r:id="rId1"/>
    <sheet name="Assumptions" sheetId="1" r:id="rId2"/>
    <sheet name="Results" sheetId="2" r:id="rId3"/>
    <sheet name="Assigned Beneficiary MSR-MLR" sheetId="3" r:id="rId4"/>
  </sheets>
  <definedNames>
    <definedName name="MSR">'Assigned Beneficiary MSR-MLR'!$A$12:$D$21</definedName>
    <definedName name="_xlnm.Print_Area" localSheetId="3">'Assigned Beneficiary MSR-MLR'!$A$1:$D$28</definedName>
    <definedName name="Z_7D1E26EF_73B0_4DA3_9BFD_D7CB8688FF9D_.wvu.PrintArea" localSheetId="3" hidden="1">'Assigned Beneficiary MSR-MLR'!$A$1:$P$21</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6" i="2" l="1"/>
  <c r="G7" i="2"/>
  <c r="F7" i="2" l="1"/>
  <c r="E7" i="2"/>
  <c r="C8" i="2"/>
  <c r="B8" i="2"/>
  <c r="G20" i="1"/>
  <c r="G8" i="2" s="1"/>
  <c r="G12" i="2" s="1"/>
  <c r="G15" i="3"/>
  <c r="G14" i="3"/>
  <c r="G13" i="3"/>
  <c r="G12" i="3"/>
  <c r="G11" i="1"/>
  <c r="F11" i="1"/>
  <c r="E11" i="1"/>
  <c r="D11" i="1"/>
  <c r="D13" i="1" s="1"/>
  <c r="C11" i="1"/>
  <c r="B11" i="1"/>
  <c r="G10" i="1"/>
  <c r="F10" i="1"/>
  <c r="E10" i="1"/>
  <c r="D10" i="1"/>
  <c r="C10" i="1"/>
  <c r="B10" i="1"/>
  <c r="G9" i="1"/>
  <c r="F9" i="1"/>
  <c r="E9" i="1"/>
  <c r="D9" i="1"/>
  <c r="C9" i="1"/>
  <c r="B9" i="1"/>
  <c r="G8" i="1"/>
  <c r="F8" i="1"/>
  <c r="F12" i="1" s="1"/>
  <c r="F13" i="1" s="1"/>
  <c r="E8" i="1"/>
  <c r="E12" i="1" s="1"/>
  <c r="E13" i="1" s="1"/>
  <c r="D8" i="1"/>
  <c r="C8" i="1"/>
  <c r="C12" i="1" s="1"/>
  <c r="C13" i="1" s="1"/>
  <c r="C15" i="1" s="1"/>
  <c r="C3" i="2" s="1"/>
  <c r="B8" i="1"/>
  <c r="B12" i="1" s="1"/>
  <c r="B13" i="1" s="1"/>
  <c r="B15" i="1" s="1"/>
  <c r="B3" i="2" s="1"/>
  <c r="E5" i="2"/>
  <c r="G5" i="2"/>
  <c r="G3" i="2"/>
  <c r="G12" i="1"/>
  <c r="G13" i="1" s="1"/>
  <c r="G6" i="1"/>
  <c r="G26" i="2" s="1"/>
  <c r="G16" i="3"/>
  <c r="G18" i="3" s="1"/>
  <c r="F5" i="2"/>
  <c r="B5" i="2"/>
  <c r="B6" i="1"/>
  <c r="B26" i="2" s="1"/>
  <c r="A14" i="2"/>
  <c r="A15" i="2"/>
  <c r="A16" i="2"/>
  <c r="C5" i="2"/>
  <c r="C6" i="1"/>
  <c r="C26" i="2" s="1"/>
  <c r="D3" i="2"/>
  <c r="D5" i="2"/>
  <c r="D6" i="1"/>
  <c r="D18" i="1" s="1"/>
  <c r="D20" i="1" s="1"/>
  <c r="D8" i="2" s="1"/>
  <c r="D12" i="2" s="1"/>
  <c r="E3" i="2"/>
  <c r="E6" i="1"/>
  <c r="E18" i="1" s="1"/>
  <c r="E20" i="1" s="1"/>
  <c r="E8" i="2" s="1"/>
  <c r="E12" i="2" s="1"/>
  <c r="E26" i="2"/>
  <c r="E20" i="2" s="1"/>
  <c r="F3" i="2"/>
  <c r="F6" i="1"/>
  <c r="F26" i="2" s="1"/>
  <c r="C7" i="2"/>
  <c r="D7" i="2"/>
  <c r="D12" i="1"/>
  <c r="E25" i="2" l="1"/>
  <c r="E15" i="2"/>
  <c r="E14" i="2"/>
  <c r="E18" i="2"/>
  <c r="B25" i="2"/>
  <c r="B13" i="2"/>
  <c r="B20" i="2"/>
  <c r="B18" i="2"/>
  <c r="D15" i="2"/>
  <c r="D18" i="2"/>
  <c r="C18" i="2"/>
  <c r="C25" i="2"/>
  <c r="C13" i="2"/>
  <c r="C20" i="2"/>
  <c r="B16" i="2"/>
  <c r="G15" i="2"/>
  <c r="E13" i="2"/>
  <c r="B14" i="2"/>
  <c r="G25" i="2"/>
  <c r="D25" i="2"/>
  <c r="B12" i="2"/>
  <c r="C14" i="2"/>
  <c r="F18" i="1"/>
  <c r="F20" i="1" s="1"/>
  <c r="F8" i="2" s="1"/>
  <c r="F12" i="2" s="1"/>
  <c r="F13" i="2" s="1"/>
  <c r="C12" i="2"/>
  <c r="D26" i="2"/>
  <c r="D20" i="2" s="1"/>
  <c r="G18" i="1"/>
  <c r="G20" i="2"/>
  <c r="D14" i="2"/>
  <c r="E16" i="2"/>
  <c r="G13" i="2"/>
  <c r="F14" i="2"/>
  <c r="F16" i="2"/>
  <c r="D16" i="2"/>
  <c r="D13" i="2"/>
  <c r="G18" i="2"/>
  <c r="G14" i="2"/>
  <c r="F25" i="2"/>
  <c r="F15" i="2"/>
  <c r="F20" i="2"/>
  <c r="A17" i="2"/>
  <c r="B15" i="2"/>
  <c r="C16" i="2"/>
  <c r="G16" i="2"/>
  <c r="C15" i="2"/>
  <c r="F18" i="2" l="1"/>
  <c r="G17" i="2"/>
  <c r="D17" i="2"/>
  <c r="C17" i="2"/>
  <c r="A19" i="2"/>
  <c r="E17" i="2"/>
  <c r="F17" i="2"/>
  <c r="B17" i="2"/>
  <c r="B19" i="2" l="1"/>
  <c r="A21" i="2"/>
  <c r="F19" i="2"/>
  <c r="D19" i="2"/>
  <c r="G19" i="2"/>
  <c r="C19" i="2"/>
  <c r="E19" i="2"/>
  <c r="F21" i="2" l="1"/>
  <c r="A22" i="2"/>
  <c r="C21" i="2"/>
  <c r="B21" i="2"/>
  <c r="E21" i="2"/>
  <c r="G21" i="2"/>
  <c r="D21" i="2"/>
  <c r="A23" i="2" l="1"/>
  <c r="F22" i="2"/>
  <c r="B22" i="2"/>
  <c r="D22" i="2"/>
  <c r="C22" i="2"/>
  <c r="G22" i="2"/>
  <c r="E22" i="2"/>
  <c r="B23" i="2" l="1"/>
  <c r="C23" i="2"/>
  <c r="D23" i="2"/>
  <c r="E23" i="2"/>
  <c r="F23" i="2"/>
  <c r="A24" i="2"/>
  <c r="G23" i="2"/>
  <c r="G24" i="2" l="1"/>
  <c r="D24" i="2"/>
  <c r="E24" i="2"/>
  <c r="F24" i="2"/>
  <c r="B24" i="2"/>
  <c r="C2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Andrew Webster</author>
  </authors>
  <commentList>
    <comment ref="D15" authorId="0" shapeId="0" xr:uid="{58F1AF72-1D3B-5A44-9728-2F599B342732}">
      <text>
        <r>
          <rPr>
            <b/>
            <sz val="10"/>
            <color rgb="FF000000"/>
            <rFont val="Tahoma"/>
            <family val="2"/>
          </rPr>
          <t>Andrew Webster:</t>
        </r>
        <r>
          <rPr>
            <sz val="10"/>
            <color rgb="FF000000"/>
            <rFont val="Tahoma"/>
            <family val="2"/>
          </rPr>
          <t xml:space="preserve">
</t>
        </r>
        <r>
          <rPr>
            <sz val="10"/>
            <color rgb="FF000000"/>
            <rFont val="Tahoma"/>
            <family val="2"/>
          </rPr>
          <t>Pick from 0%, 0.5%, 1%, 1.5%, 2%, or Blended MRS/MLR</t>
        </r>
      </text>
    </comment>
    <comment ref="E15" authorId="0" shapeId="0" xr:uid="{DE4774A2-9F0A-A14A-B8C2-6AE93855338D}">
      <text>
        <r>
          <rPr>
            <b/>
            <sz val="10"/>
            <color rgb="FF000000"/>
            <rFont val="Tahoma"/>
            <family val="2"/>
          </rPr>
          <t>Andrew Webster:</t>
        </r>
        <r>
          <rPr>
            <sz val="10"/>
            <color rgb="FF000000"/>
            <rFont val="Tahoma"/>
            <family val="2"/>
          </rPr>
          <t xml:space="preserve">
</t>
        </r>
        <r>
          <rPr>
            <sz val="10"/>
            <color rgb="FF000000"/>
            <rFont val="Tahoma"/>
            <family val="2"/>
          </rPr>
          <t>Pick from 0%, 0.5%, 1%, 1.5%, 2%, or Blended MRS/MLR</t>
        </r>
      </text>
    </comment>
    <comment ref="F15" authorId="0" shapeId="0" xr:uid="{27D79155-55E1-C544-A465-3A5B9602BF26}">
      <text>
        <r>
          <rPr>
            <b/>
            <sz val="10"/>
            <color rgb="FF000000"/>
            <rFont val="Tahoma"/>
            <family val="2"/>
          </rPr>
          <t>Andrew Webster:</t>
        </r>
        <r>
          <rPr>
            <sz val="10"/>
            <color rgb="FF000000"/>
            <rFont val="Tahoma"/>
            <family val="2"/>
          </rPr>
          <t xml:space="preserve">
</t>
        </r>
        <r>
          <rPr>
            <sz val="10"/>
            <color rgb="FF000000"/>
            <rFont val="Tahoma"/>
            <family val="2"/>
          </rPr>
          <t>Pick from 0%, 0.5%, 1%, 1.5%, 2%, or Blended MRS/MLR</t>
        </r>
      </text>
    </comment>
    <comment ref="G15" authorId="0" shapeId="0" xr:uid="{3C1A39C1-95E2-4640-9BA8-B65C84EC71C9}">
      <text>
        <r>
          <rPr>
            <b/>
            <sz val="10"/>
            <color rgb="FF000000"/>
            <rFont val="Tahoma"/>
            <family val="2"/>
          </rPr>
          <t>Andrew Webster:</t>
        </r>
        <r>
          <rPr>
            <sz val="10"/>
            <color rgb="FF000000"/>
            <rFont val="Tahoma"/>
            <family val="2"/>
          </rPr>
          <t xml:space="preserve">
</t>
        </r>
        <r>
          <rPr>
            <sz val="10"/>
            <color rgb="FF000000"/>
            <rFont val="Tahoma"/>
            <family val="2"/>
          </rPr>
          <t>Pick from 0%, 0.5%, 1%, 1.5%, 2%, or Blended MRS/MLR</t>
        </r>
      </text>
    </comment>
  </commentList>
</comments>
</file>

<file path=xl/sharedStrings.xml><?xml version="1.0" encoding="utf-8"?>
<sst xmlns="http://schemas.openxmlformats.org/spreadsheetml/2006/main" count="85" uniqueCount="62">
  <si>
    <t>Quality Score</t>
  </si>
  <si>
    <r>
      <rPr>
        <b/>
        <sz val="11"/>
        <color indexed="8"/>
        <rFont val="Times New Roman"/>
        <family val="1"/>
      </rPr>
      <t>INFORMATION NOT RELEASABLE TO THE PUBLIC UNLESS AUTHORIZED BY LAW:</t>
    </r>
    <r>
      <rPr>
        <sz val="10"/>
        <rFont val="Times New Roman"/>
        <family val="1"/>
      </rPr>
      <t xml:space="preserve"> This information has not been publicly disclosed and may be privileged and confidential. It is for internal government use only and must not be disseminated, distributed, or copied to persons not authorized to receive the information. Unauthorized disclosure may result in prosecution to the full extent of the law.</t>
    </r>
  </si>
  <si>
    <t>An ACO must have at least 5,000 assigned beneficiaries in each of the three years before the start of its agreement period and during each performance year of its agreement period, as specified under the program’s regulation at 42 C.F.R 425.110. If an ACO's number of assigned beneficiaries falls below 5,000, the ACO's MSR will be set to a level consistent with the number of assigned beneficiaries, as specified under § 425.110.</t>
  </si>
  <si>
    <t>+</t>
  </si>
  <si>
    <t>Blend</t>
  </si>
  <si>
    <t>Blending Factor</t>
  </si>
  <si>
    <t>Upper MSR</t>
  </si>
  <si>
    <t>Lower MSR</t>
  </si>
  <si>
    <t>Upper Beneficiaries</t>
  </si>
  <si>
    <t>Lower Beneficiaries</t>
  </si>
  <si>
    <t># Beneficiaries</t>
  </si>
  <si>
    <t>High</t>
  </si>
  <si>
    <t>Low</t>
  </si>
  <si>
    <t>MSR Range</t>
  </si>
  <si>
    <t>Number of Assigned Beneficiaries Range</t>
  </si>
  <si>
    <t>In the one-sided model, the ACO’s MSR varies based on the number of assigned beneficiaries according to this look-up table. MSRs for ACOs with a number of assigned beneficiaries between the low and high values shown in the table are interpolated according to a specified equation that is a weighted average of the stated endpoints.</t>
  </si>
  <si>
    <t>Table of Contents</t>
  </si>
  <si>
    <t>Table A4: Minimum Savings Rate by Number of Assigned Beneficiaries (One-Sided Model)</t>
  </si>
  <si>
    <t>Assigned Beneficiaries</t>
  </si>
  <si>
    <t>Blended MSR/MLR</t>
  </si>
  <si>
    <t>Blending Factor MSR/MLR</t>
  </si>
  <si>
    <t>Lower MSR/MLR Endpoint</t>
  </si>
  <si>
    <t>Upper MSR/MLR Endpoint</t>
  </si>
  <si>
    <t>Lower MSR Value</t>
  </si>
  <si>
    <t>Upper MSR Value</t>
  </si>
  <si>
    <t>Final MSR/MLR</t>
  </si>
  <si>
    <t>Gross Savings/(Loss) Percentage</t>
  </si>
  <si>
    <t>Maximum Savings</t>
  </si>
  <si>
    <t>Minimum Savings Rate/Minimum Loss Rate (MSR/MLR)</t>
  </si>
  <si>
    <t>Sequestration %</t>
  </si>
  <si>
    <t>N/A</t>
  </si>
  <si>
    <t>Net Aggregate Savings/(Loss) in Millions</t>
  </si>
  <si>
    <t>Selected MSR/MLR</t>
  </si>
  <si>
    <t>MSR/MLR based on Assigned Beneficiaries</t>
  </si>
  <si>
    <t>Shared Savings Rate Before Quality Adjustment</t>
  </si>
  <si>
    <t>Shared Loss Rate Before Quality Adjustment</t>
  </si>
  <si>
    <t>Shared Loss Rate After Quality Adjustment</t>
  </si>
  <si>
    <r>
      <t xml:space="preserve">As ACOs weigh the pros and cons of participating in various Medicare Shared Savings Program (MSSP) tracks, it is helpful to estimate how much shared savings and losses an ACO could face given certain circumstances. This interactive table is designed for ACOs to input their own projected values in the yellow cells which effects potential results of shared savings or losses. This tool can help ACOs illustrate how they may perform under the various tracks and when making certain decisions such as what their Minimum Savings Rate or Minimum Loss Rate would be. This table, created by NAACOS as a separate resource, is related to a paper analyzing the components of the various ACO tracks. That paper, </t>
    </r>
    <r>
      <rPr>
        <i/>
        <sz val="12"/>
        <color theme="1"/>
        <rFont val="Calibri"/>
        <family val="2"/>
        <scheme val="minor"/>
      </rPr>
      <t>Differences Between Medicare ACO Tracks that May Impact ACO Financial Results</t>
    </r>
    <r>
      <rPr>
        <sz val="12"/>
        <color theme="1"/>
        <rFont val="Calibri"/>
        <family val="2"/>
        <scheme val="minor"/>
      </rPr>
      <t>, compares the tracks and is exclusively available to NAACOS members and can be accessed at</t>
    </r>
    <r>
      <rPr>
        <sz val="12"/>
        <color rgb="FFFF0000"/>
        <rFont val="Calibri"/>
        <family val="2"/>
        <scheme val="minor"/>
      </rPr>
      <t xml:space="preserve"> </t>
    </r>
    <r>
      <rPr>
        <sz val="12"/>
        <color theme="1"/>
        <rFont val="Calibri"/>
        <family val="2"/>
        <scheme val="minor"/>
      </rPr>
      <t xml:space="preserve">https://naacos.com/assets/docs/pdf/NAACOSWhitePaper_20171025FINAL.pdf  </t>
    </r>
  </si>
  <si>
    <r>
      <t>Shared Savings Rate After Quality Adjustment</t>
    </r>
    <r>
      <rPr>
        <b/>
        <vertAlign val="superscript"/>
        <sz val="11"/>
        <color theme="1"/>
        <rFont val="Calibri (Body)"/>
      </rPr>
      <t>4</t>
    </r>
  </si>
  <si>
    <r>
      <t>Maximum Loss</t>
    </r>
    <r>
      <rPr>
        <b/>
        <vertAlign val="superscript"/>
        <sz val="11"/>
        <color theme="1"/>
        <rFont val="Calibri (Body)"/>
      </rPr>
      <t>5</t>
    </r>
  </si>
  <si>
    <r>
      <rPr>
        <vertAlign val="superscript"/>
        <sz val="11"/>
        <color theme="1"/>
        <rFont val="Calibri (Body)"/>
      </rPr>
      <t>5</t>
    </r>
    <r>
      <rPr>
        <sz val="11"/>
        <color theme="1"/>
        <rFont val="Calibri"/>
        <family val="2"/>
        <scheme val="minor"/>
      </rPr>
      <t>Assumes that sequestration is not withheld when determining shared losses.  This is consistent with page 4 of the repayment mechanism guidance https://www.cms.gov/Medicare/Medicare-Fee-for-Service-Payment/sharedsavingsprogram/Downloads/Repayment-Mechanism-Guidance.pdf</t>
    </r>
  </si>
  <si>
    <r>
      <t>Assigned Beneficiary Person-Years</t>
    </r>
    <r>
      <rPr>
        <vertAlign val="superscript"/>
        <sz val="11"/>
        <color theme="1"/>
        <rFont val="Calibri"/>
        <family val="2"/>
        <scheme val="minor"/>
      </rPr>
      <t>2</t>
    </r>
  </si>
  <si>
    <r>
      <t>Total Medicare FFS Participant Revenue
(only if subject to Revenue-Based Standard Loss Sharing Limit)</t>
    </r>
    <r>
      <rPr>
        <vertAlign val="superscript"/>
        <sz val="11"/>
        <color theme="1"/>
        <rFont val="Calibri"/>
        <family val="2"/>
        <scheme val="minor"/>
      </rPr>
      <t>3</t>
    </r>
  </si>
  <si>
    <r>
      <rPr>
        <vertAlign val="superscript"/>
        <sz val="11"/>
        <color theme="1"/>
        <rFont val="Calibri"/>
        <family val="2"/>
        <scheme val="minor"/>
      </rPr>
      <t xml:space="preserve">1 </t>
    </r>
    <r>
      <rPr>
        <sz val="11"/>
        <color theme="1"/>
        <rFont val="Calibri"/>
        <family val="2"/>
        <scheme val="minor"/>
      </rPr>
      <t>Per Beneficiary per Year expenditures from quarterly and annual reports include payment withheld for sequestration</t>
    </r>
  </si>
  <si>
    <r>
      <rPr>
        <vertAlign val="superscript"/>
        <sz val="11"/>
        <color theme="1"/>
        <rFont val="Calibri"/>
        <family val="2"/>
        <scheme val="minor"/>
      </rPr>
      <t>2</t>
    </r>
    <r>
      <rPr>
        <sz val="11"/>
        <color theme="1"/>
        <rFont val="Calibri"/>
        <family val="2"/>
        <scheme val="minor"/>
      </rPr>
      <t xml:space="preserve">When we sum the fraction of the year enrolled in Medicare for all the beneficiaries assigned to the ACO, the result is the total “person years” </t>
    </r>
  </si>
  <si>
    <t>Update yellow-highlighted cells with ACO-specific values.  Gray-highlighted values are auto-calculated.</t>
  </si>
  <si>
    <t>Shared Loss Limit % (based on revenue-based model)</t>
  </si>
  <si>
    <t>Shared Loss Limit % (based on benchmark-based model)</t>
  </si>
  <si>
    <t>Total Benchmark Expenditures (only if subject to Benchmark-Based Standard Loss Sharing Limit)</t>
  </si>
  <si>
    <r>
      <rPr>
        <vertAlign val="superscript"/>
        <sz val="11"/>
        <color theme="1"/>
        <rFont val="Calibri (Body)"/>
      </rPr>
      <t>4</t>
    </r>
    <r>
      <rPr>
        <sz val="11"/>
        <color theme="1"/>
        <rFont val="Calibri"/>
        <family val="2"/>
        <scheme val="minor"/>
      </rPr>
      <t>See https://s3.amazonaws.com/public-inspection.federalregister.gov/2018-17101.pdf</t>
    </r>
  </si>
  <si>
    <t>Shard Loss Limit % (based on benchmark expenditures)</t>
  </si>
  <si>
    <t>Level A</t>
  </si>
  <si>
    <t>Level B</t>
  </si>
  <si>
    <t>Level C</t>
  </si>
  <si>
    <t>Level D</t>
  </si>
  <si>
    <t>Level E</t>
  </si>
  <si>
    <r>
      <t>Updated Benchmark Expenditures per Beneficiary per Year (PBPY)</t>
    </r>
    <r>
      <rPr>
        <vertAlign val="superscript"/>
        <sz val="11"/>
        <color theme="1"/>
        <rFont val="Calibri"/>
        <family val="2"/>
        <scheme val="minor"/>
      </rPr>
      <t>1</t>
    </r>
  </si>
  <si>
    <r>
      <rPr>
        <vertAlign val="superscript"/>
        <sz val="11"/>
        <color theme="1"/>
        <rFont val="Calibri"/>
        <family val="2"/>
        <scheme val="minor"/>
      </rPr>
      <t>3</t>
    </r>
    <r>
      <rPr>
        <sz val="11"/>
        <color theme="1"/>
        <rFont val="Calibri"/>
        <family val="2"/>
        <scheme val="minor"/>
      </rPr>
      <t>The loss limit is the lessor of the revenue-based standard loss limit and the benchmark-based standard loss limit.</t>
    </r>
  </si>
  <si>
    <t>BASIC</t>
  </si>
  <si>
    <t>ENHANCED</t>
  </si>
  <si>
    <t>Loss Sharing Limit (as % of benchmark)</t>
  </si>
  <si>
    <t>Shared Savings Limit (as % of benchmark)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</si>
</sst>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0.0%"/>
    <numFmt numFmtId="165" formatCode="_(* #,##0_);_(* \(#,##0\);_(* &quot;-&quot;??_);_(@_)"/>
    <numFmt numFmtId="166" formatCode="_(&quot;$&quot;* #,##0_);_(&quot;$&quot;* \(#,##0\);_(&quot;$&quot;* &quot;-&quot;??_);_(@_)"/>
    <numFmt numFmtId="167" formatCode="&quot;$&quot;0.0,,"/>
  </numFmts>
  <fonts count="56">
    <font>
      <sz val="12"/>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b/>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indexed="8"/>
      <name val="Calibri"/>
      <family val="2"/>
    </font>
    <font>
      <sz val="11"/>
      <color indexed="8"/>
      <name val="Times New Roman"/>
      <family val="1"/>
    </font>
    <font>
      <sz val="11"/>
      <color theme="1"/>
      <name val="Times New Roman"/>
      <family val="1"/>
    </font>
    <font>
      <b/>
      <sz val="11"/>
      <color indexed="8"/>
      <name val="Times New Roman"/>
      <family val="1"/>
    </font>
    <font>
      <sz val="10"/>
      <name val="Times New Roman"/>
      <family val="1"/>
    </font>
    <font>
      <u/>
      <sz val="11"/>
      <color theme="10"/>
      <name val="Calibri"/>
      <family val="2"/>
    </font>
    <font>
      <sz val="11"/>
      <color theme="1"/>
      <name val="Calibri"/>
      <family val="2"/>
      <scheme val="minor"/>
    </font>
    <font>
      <sz val="11"/>
      <color indexed="9"/>
      <name val="Calibri"/>
      <family val="2"/>
    </font>
    <font>
      <sz val="11"/>
      <color theme="0"/>
      <name val="Calibri"/>
      <family val="2"/>
      <scheme val="minor"/>
    </font>
    <font>
      <sz val="11"/>
      <color indexed="20"/>
      <name val="Calibri"/>
      <family val="2"/>
    </font>
    <font>
      <sz val="11"/>
      <color rgb="FF9C0006"/>
      <name val="Calibri"/>
      <family val="2"/>
      <scheme val="minor"/>
    </font>
    <font>
      <b/>
      <sz val="11"/>
      <color indexed="52"/>
      <name val="Calibri"/>
      <family val="2"/>
    </font>
    <font>
      <b/>
      <sz val="11"/>
      <color rgb="FFFA7D00"/>
      <name val="Calibri"/>
      <family val="2"/>
      <scheme val="minor"/>
    </font>
    <font>
      <b/>
      <sz val="11"/>
      <color indexed="9"/>
      <name val="Calibri"/>
      <family val="2"/>
    </font>
    <font>
      <b/>
      <sz val="11"/>
      <color theme="0"/>
      <name val="Calibri"/>
      <family val="2"/>
      <scheme val="minor"/>
    </font>
    <font>
      <sz val="10"/>
      <color theme="1"/>
      <name val="Arial"/>
      <family val="2"/>
    </font>
    <font>
      <i/>
      <sz val="11"/>
      <color indexed="23"/>
      <name val="Calibri"/>
      <family val="2"/>
    </font>
    <font>
      <i/>
      <sz val="11"/>
      <color rgb="FF7F7F7F"/>
      <name val="Calibri"/>
      <family val="2"/>
      <scheme val="minor"/>
    </font>
    <font>
      <sz val="11"/>
      <color indexed="17"/>
      <name val="Calibri"/>
      <family val="2"/>
    </font>
    <font>
      <sz val="11"/>
      <color rgb="FF006100"/>
      <name val="Calibri"/>
      <family val="2"/>
      <scheme val="minor"/>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rgb="FF3F3F76"/>
      <name val="Calibri"/>
      <family val="2"/>
      <scheme val="minor"/>
    </font>
    <font>
      <sz val="11"/>
      <color indexed="52"/>
      <name val="Calibri"/>
      <family val="2"/>
    </font>
    <font>
      <sz val="11"/>
      <color rgb="FFFA7D00"/>
      <name val="Calibri"/>
      <family val="2"/>
      <scheme val="minor"/>
    </font>
    <font>
      <sz val="11"/>
      <color indexed="60"/>
      <name val="Calibri"/>
      <family val="2"/>
    </font>
    <font>
      <sz val="11"/>
      <color rgb="FF9C6500"/>
      <name val="Calibri"/>
      <family val="2"/>
      <scheme val="minor"/>
    </font>
    <font>
      <b/>
      <sz val="11"/>
      <color indexed="63"/>
      <name val="Calibri"/>
      <family val="2"/>
    </font>
    <font>
      <b/>
      <sz val="11"/>
      <color rgb="FF3F3F3F"/>
      <name val="Calibri"/>
      <family val="2"/>
      <scheme val="minor"/>
    </font>
    <font>
      <b/>
      <sz val="18"/>
      <color indexed="56"/>
      <name val="Cambria"/>
      <family val="2"/>
    </font>
    <font>
      <b/>
      <sz val="11"/>
      <color indexed="8"/>
      <name val="Calibri"/>
      <family val="2"/>
    </font>
    <font>
      <b/>
      <sz val="11"/>
      <color theme="1"/>
      <name val="Calibri"/>
      <family val="2"/>
      <scheme val="minor"/>
    </font>
    <font>
      <sz val="11"/>
      <color indexed="10"/>
      <name val="Calibri"/>
      <family val="2"/>
    </font>
    <font>
      <sz val="11"/>
      <color rgb="FFFF0000"/>
      <name val="Calibri"/>
      <family val="2"/>
      <scheme val="minor"/>
    </font>
    <font>
      <u/>
      <sz val="12"/>
      <color theme="11"/>
      <name val="Calibri"/>
      <family val="2"/>
      <scheme val="minor"/>
    </font>
    <font>
      <i/>
      <sz val="12"/>
      <color theme="1"/>
      <name val="Calibri"/>
      <family val="2"/>
      <scheme val="minor"/>
    </font>
    <font>
      <sz val="12"/>
      <color rgb="FFFF0000"/>
      <name val="Calibri"/>
      <family val="2"/>
      <scheme val="minor"/>
    </font>
    <font>
      <b/>
      <sz val="12"/>
      <color indexed="8"/>
      <name val="Calibri"/>
      <family val="2"/>
      <scheme val="minor"/>
    </font>
    <font>
      <u/>
      <sz val="11"/>
      <color theme="10"/>
      <name val="Calibri"/>
      <family val="2"/>
      <scheme val="minor"/>
    </font>
    <font>
      <b/>
      <sz val="11"/>
      <color indexed="8"/>
      <name val="Calibri"/>
      <family val="2"/>
      <scheme val="minor"/>
    </font>
    <font>
      <sz val="11"/>
      <color rgb="FF000000"/>
      <name val="Calibri"/>
      <family val="2"/>
      <scheme val="minor"/>
    </font>
    <font>
      <b/>
      <vertAlign val="superscript"/>
      <sz val="11"/>
      <color theme="1"/>
      <name val="Calibri (Body)"/>
    </font>
    <font>
      <vertAlign val="superscript"/>
      <sz val="11"/>
      <color theme="1"/>
      <name val="Calibri (Body)"/>
    </font>
    <font>
      <vertAlign val="superscript"/>
      <sz val="11"/>
      <color theme="1"/>
      <name val="Calibri"/>
      <family val="2"/>
      <scheme val="minor"/>
    </font>
    <font>
      <sz val="10"/>
      <color rgb="FF000000"/>
      <name val="Tahoma"/>
      <family val="2"/>
    </font>
    <font>
      <b/>
      <sz val="10"/>
      <color rgb="FF000000"/>
      <name val="Tahoma"/>
      <family val="2"/>
    </font>
  </fonts>
  <fills count="5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92D050"/>
        <bgColor indexed="64"/>
      </patternFill>
    </fill>
    <fill>
      <patternFill patternType="solid">
        <fgColor rgb="FFFFFF00"/>
        <bgColor indexed="64"/>
      </patternFill>
    </fill>
    <fill>
      <patternFill patternType="solid">
        <fgColor theme="2" tint="-9.9978637043366805E-2"/>
        <bgColor indexed="64"/>
      </patternFill>
    </fill>
  </fills>
  <borders count="3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top/>
      <bottom style="thin">
        <color auto="1"/>
      </bottom>
      <diagonal/>
    </border>
    <border>
      <left/>
      <right style="thin">
        <color auto="1"/>
      </right>
      <top/>
      <bottom style="thin">
        <color auto="1"/>
      </bottom>
      <diagonal/>
    </border>
    <border>
      <left/>
      <right style="thin">
        <color auto="1"/>
      </right>
      <top/>
      <bottom/>
      <diagonal/>
    </border>
    <border>
      <left style="thin">
        <color auto="1"/>
      </left>
      <right/>
      <top/>
      <bottom/>
      <diagonal/>
    </border>
    <border>
      <left/>
      <right style="thin">
        <color auto="1"/>
      </right>
      <top style="thin">
        <color auto="1"/>
      </top>
      <bottom/>
      <diagonal/>
    </border>
    <border>
      <left style="thin">
        <color auto="1"/>
      </left>
      <right/>
      <top style="thin">
        <color auto="1"/>
      </top>
      <bottom/>
      <diagonal/>
    </border>
    <border>
      <left/>
      <right/>
      <top/>
      <bottom style="thin">
        <color auto="1"/>
      </bottom>
      <diagonal/>
    </border>
    <border>
      <left/>
      <right/>
      <top style="thin">
        <color auto="1"/>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22">
    <xf numFmtId="0" fontId="0" fillId="0" borderId="0"/>
    <xf numFmtId="43"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43" fontId="8" fillId="0" borderId="0" applyFont="0" applyFill="0" applyBorder="0" applyAlignment="0" applyProtection="0"/>
    <xf numFmtId="0" fontId="13" fillId="0" borderId="0" applyNumberFormat="0" applyFill="0" applyBorder="0" applyAlignment="0" applyProtection="0"/>
    <xf numFmtId="0" fontId="8" fillId="33" borderId="0" applyNumberFormat="0" applyBorder="0" applyAlignment="0" applyProtection="0"/>
    <xf numFmtId="0" fontId="14" fillId="10" borderId="0" applyNumberFormat="0" applyBorder="0" applyAlignment="0" applyProtection="0"/>
    <xf numFmtId="0" fontId="8" fillId="34" borderId="0" applyNumberFormat="0" applyBorder="0" applyAlignment="0" applyProtection="0"/>
    <xf numFmtId="0" fontId="14" fillId="14" borderId="0" applyNumberFormat="0" applyBorder="0" applyAlignment="0" applyProtection="0"/>
    <xf numFmtId="0" fontId="8" fillId="35" borderId="0" applyNumberFormat="0" applyBorder="0" applyAlignment="0" applyProtection="0"/>
    <xf numFmtId="0" fontId="14" fillId="18" borderId="0" applyNumberFormat="0" applyBorder="0" applyAlignment="0" applyProtection="0"/>
    <xf numFmtId="0" fontId="8" fillId="36" borderId="0" applyNumberFormat="0" applyBorder="0" applyAlignment="0" applyProtection="0"/>
    <xf numFmtId="0" fontId="14" fillId="22" borderId="0" applyNumberFormat="0" applyBorder="0" applyAlignment="0" applyProtection="0"/>
    <xf numFmtId="0" fontId="8" fillId="37" borderId="0" applyNumberFormat="0" applyBorder="0" applyAlignment="0" applyProtection="0"/>
    <xf numFmtId="0" fontId="14" fillId="26" borderId="0" applyNumberFormat="0" applyBorder="0" applyAlignment="0" applyProtection="0"/>
    <xf numFmtId="0" fontId="8" fillId="38" borderId="0" applyNumberFormat="0" applyBorder="0" applyAlignment="0" applyProtection="0"/>
    <xf numFmtId="0" fontId="14" fillId="30" borderId="0" applyNumberFormat="0" applyBorder="0" applyAlignment="0" applyProtection="0"/>
    <xf numFmtId="0" fontId="8" fillId="39" borderId="0" applyNumberFormat="0" applyBorder="0" applyAlignment="0" applyProtection="0"/>
    <xf numFmtId="0" fontId="14" fillId="11" borderId="0" applyNumberFormat="0" applyBorder="0" applyAlignment="0" applyProtection="0"/>
    <xf numFmtId="0" fontId="8" fillId="40" borderId="0" applyNumberFormat="0" applyBorder="0" applyAlignment="0" applyProtection="0"/>
    <xf numFmtId="0" fontId="14" fillId="15" borderId="0" applyNumberFormat="0" applyBorder="0" applyAlignment="0" applyProtection="0"/>
    <xf numFmtId="0" fontId="8" fillId="41" borderId="0" applyNumberFormat="0" applyBorder="0" applyAlignment="0" applyProtection="0"/>
    <xf numFmtId="0" fontId="14" fillId="19" borderId="0" applyNumberFormat="0" applyBorder="0" applyAlignment="0" applyProtection="0"/>
    <xf numFmtId="0" fontId="8" fillId="36" borderId="0" applyNumberFormat="0" applyBorder="0" applyAlignment="0" applyProtection="0"/>
    <xf numFmtId="0" fontId="14" fillId="23" borderId="0" applyNumberFormat="0" applyBorder="0" applyAlignment="0" applyProtection="0"/>
    <xf numFmtId="0" fontId="8" fillId="39" borderId="0" applyNumberFormat="0" applyBorder="0" applyAlignment="0" applyProtection="0"/>
    <xf numFmtId="0" fontId="14" fillId="27" borderId="0" applyNumberFormat="0" applyBorder="0" applyAlignment="0" applyProtection="0"/>
    <xf numFmtId="0" fontId="8" fillId="42" borderId="0" applyNumberFormat="0" applyBorder="0" applyAlignment="0" applyProtection="0"/>
    <xf numFmtId="0" fontId="14" fillId="31" borderId="0" applyNumberFormat="0" applyBorder="0" applyAlignment="0" applyProtection="0"/>
    <xf numFmtId="0" fontId="15" fillId="43" borderId="0" applyNumberFormat="0" applyBorder="0" applyAlignment="0" applyProtection="0"/>
    <xf numFmtId="0" fontId="16" fillId="12" borderId="0" applyNumberFormat="0" applyBorder="0" applyAlignment="0" applyProtection="0"/>
    <xf numFmtId="0" fontId="15" fillId="40" borderId="0" applyNumberFormat="0" applyBorder="0" applyAlignment="0" applyProtection="0"/>
    <xf numFmtId="0" fontId="16" fillId="16" borderId="0" applyNumberFormat="0" applyBorder="0" applyAlignment="0" applyProtection="0"/>
    <xf numFmtId="0" fontId="15" fillId="41" borderId="0" applyNumberFormat="0" applyBorder="0" applyAlignment="0" applyProtection="0"/>
    <xf numFmtId="0" fontId="16" fillId="20" borderId="0" applyNumberFormat="0" applyBorder="0" applyAlignment="0" applyProtection="0"/>
    <xf numFmtId="0" fontId="15" fillId="44" borderId="0" applyNumberFormat="0" applyBorder="0" applyAlignment="0" applyProtection="0"/>
    <xf numFmtId="0" fontId="16" fillId="24" borderId="0" applyNumberFormat="0" applyBorder="0" applyAlignment="0" applyProtection="0"/>
    <xf numFmtId="0" fontId="15" fillId="45" borderId="0" applyNumberFormat="0" applyBorder="0" applyAlignment="0" applyProtection="0"/>
    <xf numFmtId="0" fontId="16" fillId="28" borderId="0" applyNumberFormat="0" applyBorder="0" applyAlignment="0" applyProtection="0"/>
    <xf numFmtId="0" fontId="15" fillId="46" borderId="0" applyNumberFormat="0" applyBorder="0" applyAlignment="0" applyProtection="0"/>
    <xf numFmtId="0" fontId="16" fillId="32" borderId="0" applyNumberFormat="0" applyBorder="0" applyAlignment="0" applyProtection="0"/>
    <xf numFmtId="0" fontId="15" fillId="47" borderId="0" applyNumberFormat="0" applyBorder="0" applyAlignment="0" applyProtection="0"/>
    <xf numFmtId="0" fontId="16" fillId="9" borderId="0" applyNumberFormat="0" applyBorder="0" applyAlignment="0" applyProtection="0"/>
    <xf numFmtId="0" fontId="15" fillId="48" borderId="0" applyNumberFormat="0" applyBorder="0" applyAlignment="0" applyProtection="0"/>
    <xf numFmtId="0" fontId="16" fillId="13" borderId="0" applyNumberFormat="0" applyBorder="0" applyAlignment="0" applyProtection="0"/>
    <xf numFmtId="0" fontId="15" fillId="49" borderId="0" applyNumberFormat="0" applyBorder="0" applyAlignment="0" applyProtection="0"/>
    <xf numFmtId="0" fontId="16" fillId="17" borderId="0" applyNumberFormat="0" applyBorder="0" applyAlignment="0" applyProtection="0"/>
    <xf numFmtId="0" fontId="15" fillId="44" borderId="0" applyNumberFormat="0" applyBorder="0" applyAlignment="0" applyProtection="0"/>
    <xf numFmtId="0" fontId="16" fillId="21" borderId="0" applyNumberFormat="0" applyBorder="0" applyAlignment="0" applyProtection="0"/>
    <xf numFmtId="0" fontId="15" fillId="45" borderId="0" applyNumberFormat="0" applyBorder="0" applyAlignment="0" applyProtection="0"/>
    <xf numFmtId="0" fontId="16" fillId="25" borderId="0" applyNumberFormat="0" applyBorder="0" applyAlignment="0" applyProtection="0"/>
    <xf numFmtId="0" fontId="15" fillId="50" borderId="0" applyNumberFormat="0" applyBorder="0" applyAlignment="0" applyProtection="0"/>
    <xf numFmtId="0" fontId="16" fillId="29" borderId="0" applyNumberFormat="0" applyBorder="0" applyAlignment="0" applyProtection="0"/>
    <xf numFmtId="0" fontId="17" fillId="34" borderId="0" applyNumberFormat="0" applyBorder="0" applyAlignment="0" applyProtection="0"/>
    <xf numFmtId="0" fontId="18" fillId="3" borderId="0" applyNumberFormat="0" applyBorder="0" applyAlignment="0" applyProtection="0"/>
    <xf numFmtId="0" fontId="19" fillId="51" borderId="18" applyNumberFormat="0" applyAlignment="0" applyProtection="0"/>
    <xf numFmtId="0" fontId="20" fillId="6" borderId="4" applyNumberFormat="0" applyAlignment="0" applyProtection="0"/>
    <xf numFmtId="0" fontId="21" fillId="52" borderId="19" applyNumberFormat="0" applyAlignment="0" applyProtection="0"/>
    <xf numFmtId="0" fontId="22" fillId="7" borderId="7" applyNumberFormat="0" applyAlignment="0" applyProtection="0"/>
    <xf numFmtId="43" fontId="14" fillId="0" borderId="0" applyFont="0" applyFill="0" applyBorder="0" applyAlignment="0" applyProtection="0"/>
    <xf numFmtId="43" fontId="23" fillId="0" borderId="0" applyFont="0" applyFill="0" applyBorder="0" applyAlignment="0" applyProtection="0"/>
    <xf numFmtId="44" fontId="23" fillId="0" borderId="0" applyFon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6" fillId="35" borderId="0" applyNumberFormat="0" applyBorder="0" applyAlignment="0" applyProtection="0"/>
    <xf numFmtId="0" fontId="27" fillId="2" borderId="0" applyNumberFormat="0" applyBorder="0" applyAlignment="0" applyProtection="0"/>
    <xf numFmtId="0" fontId="28" fillId="0" borderId="20" applyNumberFormat="0" applyFill="0" applyAlignment="0" applyProtection="0"/>
    <xf numFmtId="0" fontId="5" fillId="0" borderId="1" applyNumberFormat="0" applyFill="0" applyAlignment="0" applyProtection="0"/>
    <xf numFmtId="0" fontId="29" fillId="0" borderId="21" applyNumberFormat="0" applyFill="0" applyAlignment="0" applyProtection="0"/>
    <xf numFmtId="0" fontId="6" fillId="0" borderId="2" applyNumberFormat="0" applyFill="0" applyAlignment="0" applyProtection="0"/>
    <xf numFmtId="0" fontId="30" fillId="0" borderId="22" applyNumberFormat="0" applyFill="0" applyAlignment="0" applyProtection="0"/>
    <xf numFmtId="0" fontId="7" fillId="0" borderId="3" applyNumberFormat="0" applyFill="0" applyAlignment="0" applyProtection="0"/>
    <xf numFmtId="0" fontId="30" fillId="0" borderId="0" applyNumberFormat="0" applyFill="0" applyBorder="0" applyAlignment="0" applyProtection="0"/>
    <xf numFmtId="0" fontId="7" fillId="0" borderId="0" applyNumberFormat="0" applyFill="0" applyBorder="0" applyAlignment="0" applyProtection="0"/>
    <xf numFmtId="0" fontId="31" fillId="38" borderId="18" applyNumberFormat="0" applyAlignment="0" applyProtection="0"/>
    <xf numFmtId="0" fontId="32" fillId="5" borderId="4" applyNumberFormat="0" applyAlignment="0" applyProtection="0"/>
    <xf numFmtId="0" fontId="33" fillId="0" borderId="23" applyNumberFormat="0" applyFill="0" applyAlignment="0" applyProtection="0"/>
    <xf numFmtId="0" fontId="34" fillId="0" borderId="6" applyNumberFormat="0" applyFill="0" applyAlignment="0" applyProtection="0"/>
    <xf numFmtId="0" fontId="35" fillId="53" borderId="0" applyNumberFormat="0" applyBorder="0" applyAlignment="0" applyProtection="0"/>
    <xf numFmtId="0" fontId="36" fillId="4" borderId="0" applyNumberFormat="0" applyBorder="0" applyAlignment="0" applyProtection="0"/>
    <xf numFmtId="0" fontId="14" fillId="0" borderId="0"/>
    <xf numFmtId="0" fontId="2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23" fillId="0" borderId="0"/>
    <xf numFmtId="0" fontId="8" fillId="54" borderId="24" applyNumberFormat="0" applyFont="0" applyAlignment="0" applyProtection="0"/>
    <xf numFmtId="0" fontId="14" fillId="8" borderId="8" applyNumberFormat="0" applyFont="0" applyAlignment="0" applyProtection="0"/>
    <xf numFmtId="0" fontId="37" fillId="51" borderId="25" applyNumberFormat="0" applyAlignment="0" applyProtection="0"/>
    <xf numFmtId="0" fontId="38" fillId="6" borderId="5" applyNumberFormat="0" applyAlignment="0" applyProtection="0"/>
    <xf numFmtId="9" fontId="14" fillId="0" borderId="0" applyFont="0" applyFill="0" applyBorder="0" applyAlignment="0" applyProtection="0"/>
    <xf numFmtId="9" fontId="23"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8" fillId="0" borderId="0" applyFont="0" applyFill="0" applyBorder="0" applyAlignment="0" applyProtection="0"/>
    <xf numFmtId="9" fontId="14" fillId="0" borderId="0" applyFont="0" applyFill="0" applyBorder="0" applyAlignment="0" applyProtection="0"/>
    <xf numFmtId="9" fontId="23" fillId="0" borderId="0" applyFont="0" applyFill="0" applyBorder="0" applyAlignment="0" applyProtection="0"/>
    <xf numFmtId="0" fontId="39" fillId="0" borderId="0" applyNumberFormat="0" applyFill="0" applyBorder="0" applyAlignment="0" applyProtection="0"/>
    <xf numFmtId="0" fontId="4" fillId="0" borderId="0" applyNumberFormat="0" applyFill="0" applyBorder="0" applyAlignment="0" applyProtection="0"/>
    <xf numFmtId="0" fontId="40" fillId="0" borderId="26" applyNumberFormat="0" applyFill="0" applyAlignment="0" applyProtection="0"/>
    <xf numFmtId="0" fontId="41" fillId="0" borderId="9"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cellStyleXfs>
  <cellXfs count="96">
    <xf numFmtId="0" fontId="0" fillId="0" borderId="0" xfId="0"/>
    <xf numFmtId="0" fontId="8" fillId="0" borderId="0" xfId="4"/>
    <xf numFmtId="0" fontId="9" fillId="0" borderId="0" xfId="4" applyFont="1"/>
    <xf numFmtId="0" fontId="9" fillId="0" borderId="0" xfId="5" applyFont="1" applyAlignment="1">
      <alignment vertical="top" wrapText="1"/>
    </xf>
    <xf numFmtId="0" fontId="10" fillId="0" borderId="0" xfId="4" applyFont="1"/>
    <xf numFmtId="0" fontId="10" fillId="0" borderId="0" xfId="4" applyFont="1" applyBorder="1"/>
    <xf numFmtId="0" fontId="0" fillId="0" borderId="0" xfId="0" applyAlignment="1">
      <alignment wrapText="1"/>
    </xf>
    <xf numFmtId="0" fontId="0" fillId="0" borderId="0" xfId="0" applyAlignment="1">
      <alignment vertical="center" wrapText="1"/>
    </xf>
    <xf numFmtId="0" fontId="0" fillId="0" borderId="0" xfId="0" applyAlignment="1">
      <alignment vertical="top" wrapText="1"/>
    </xf>
    <xf numFmtId="0" fontId="0" fillId="0" borderId="0" xfId="0" applyBorder="1"/>
    <xf numFmtId="0" fontId="0" fillId="0" borderId="0" xfId="0" applyBorder="1" applyAlignment="1">
      <alignment vertical="center" wrapText="1"/>
    </xf>
    <xf numFmtId="0" fontId="0" fillId="0" borderId="0" xfId="0" applyBorder="1" applyAlignment="1">
      <alignment vertical="top" wrapText="1"/>
    </xf>
    <xf numFmtId="0" fontId="13" fillId="0" borderId="0" xfId="8" applyBorder="1" applyAlignment="1">
      <alignment vertical="top" wrapText="1"/>
    </xf>
    <xf numFmtId="0" fontId="47" fillId="0" borderId="0" xfId="4" applyFont="1" applyAlignment="1">
      <alignment horizontal="left"/>
    </xf>
    <xf numFmtId="0" fontId="2" fillId="0" borderId="0" xfId="4" applyFont="1"/>
    <xf numFmtId="0" fontId="48" fillId="0" borderId="0" xfId="8" applyFont="1" applyProtection="1"/>
    <xf numFmtId="0" fontId="49" fillId="0" borderId="0" xfId="4" applyFont="1" applyAlignment="1">
      <alignment horizontal="left"/>
    </xf>
    <xf numFmtId="0" fontId="2" fillId="0" borderId="10" xfId="4" applyFont="1" applyBorder="1" applyAlignment="1">
      <alignment horizontal="center"/>
    </xf>
    <xf numFmtId="0" fontId="2" fillId="0" borderId="11" xfId="4" applyFont="1" applyBorder="1" applyAlignment="1">
      <alignment horizontal="center"/>
    </xf>
    <xf numFmtId="0" fontId="2" fillId="0" borderId="16" xfId="4" applyFont="1" applyBorder="1" applyAlignment="1">
      <alignment horizontal="center"/>
    </xf>
    <xf numFmtId="165" fontId="2" fillId="55" borderId="0" xfId="7" applyNumberFormat="1" applyFont="1" applyFill="1"/>
    <xf numFmtId="3" fontId="2" fillId="0" borderId="13" xfId="4" applyNumberFormat="1" applyFont="1" applyBorder="1" applyAlignment="1">
      <alignment horizontal="center"/>
    </xf>
    <xf numFmtId="3" fontId="2" fillId="0" borderId="12" xfId="4" applyNumberFormat="1" applyFont="1" applyBorder="1" applyAlignment="1">
      <alignment horizontal="center"/>
    </xf>
    <xf numFmtId="164" fontId="50" fillId="0" borderId="14" xfId="4" applyNumberFormat="1" applyFont="1" applyBorder="1" applyAlignment="1">
      <alignment horizontal="center"/>
    </xf>
    <xf numFmtId="3" fontId="50" fillId="0" borderId="12" xfId="4" applyNumberFormat="1" applyFont="1" applyBorder="1" applyAlignment="1">
      <alignment horizontal="center"/>
    </xf>
    <xf numFmtId="164" fontId="50" fillId="0" borderId="13" xfId="4" applyNumberFormat="1" applyFont="1" applyBorder="1" applyAlignment="1">
      <alignment horizontal="center"/>
    </xf>
    <xf numFmtId="164" fontId="50" fillId="0" borderId="12" xfId="4" applyNumberFormat="1" applyFont="1" applyBorder="1" applyAlignment="1">
      <alignment horizontal="center"/>
    </xf>
    <xf numFmtId="165" fontId="2" fillId="0" borderId="0" xfId="7" applyNumberFormat="1" applyFont="1"/>
    <xf numFmtId="164" fontId="2" fillId="0" borderId="0" xfId="6" applyNumberFormat="1" applyFont="1"/>
    <xf numFmtId="9" fontId="2" fillId="0" borderId="0" xfId="6" applyNumberFormat="1" applyFont="1"/>
    <xf numFmtId="10" fontId="2" fillId="0" borderId="0" xfId="6" applyNumberFormat="1" applyFont="1"/>
    <xf numFmtId="3" fontId="2" fillId="0" borderId="13" xfId="4" applyNumberFormat="1" applyFont="1" applyFill="1" applyBorder="1" applyAlignment="1">
      <alignment horizontal="center"/>
    </xf>
    <xf numFmtId="3" fontId="50" fillId="0" borderId="12" xfId="4" applyNumberFormat="1" applyFont="1" applyFill="1" applyBorder="1" applyAlignment="1">
      <alignment horizontal="center"/>
    </xf>
    <xf numFmtId="164" fontId="50" fillId="0" borderId="13" xfId="4" applyNumberFormat="1" applyFont="1" applyFill="1" applyBorder="1" applyAlignment="1">
      <alignment horizontal="center"/>
    </xf>
    <xf numFmtId="164" fontId="50" fillId="0" borderId="12" xfId="4" applyNumberFormat="1" applyFont="1" applyFill="1" applyBorder="1" applyAlignment="1">
      <alignment horizontal="center"/>
    </xf>
    <xf numFmtId="165" fontId="2" fillId="0" borderId="0" xfId="4" applyNumberFormat="1" applyFont="1"/>
    <xf numFmtId="3" fontId="2" fillId="0" borderId="10" xfId="4" applyNumberFormat="1" applyFont="1" applyBorder="1" applyAlignment="1">
      <alignment horizontal="center"/>
    </xf>
    <xf numFmtId="0" fontId="50" fillId="0" borderId="11" xfId="4" applyFont="1" applyBorder="1" applyAlignment="1">
      <alignment horizontal="center"/>
    </xf>
    <xf numFmtId="3" fontId="2" fillId="0" borderId="0" xfId="4" applyNumberFormat="1" applyFont="1" applyBorder="1" applyAlignment="1">
      <alignment horizontal="center"/>
    </xf>
    <xf numFmtId="3" fontId="50" fillId="0" borderId="0" xfId="4" applyNumberFormat="1" applyFont="1" applyBorder="1" applyAlignment="1">
      <alignment horizontal="center"/>
    </xf>
    <xf numFmtId="164" fontId="50" fillId="0" borderId="0" xfId="4" applyNumberFormat="1" applyFont="1" applyBorder="1" applyAlignment="1">
      <alignment horizontal="center"/>
    </xf>
    <xf numFmtId="0" fontId="2" fillId="0" borderId="27" xfId="0" applyFont="1" applyBorder="1" applyAlignment="1">
      <alignment wrapText="1"/>
    </xf>
    <xf numFmtId="0" fontId="41" fillId="0" borderId="27" xfId="0" applyFont="1" applyBorder="1"/>
    <xf numFmtId="0" fontId="41" fillId="0" borderId="27" xfId="0" applyFont="1" applyBorder="1" applyAlignment="1">
      <alignment wrapText="1"/>
    </xf>
    <xf numFmtId="164" fontId="2" fillId="0" borderId="27" xfId="3" applyNumberFormat="1" applyFont="1" applyBorder="1"/>
    <xf numFmtId="9" fontId="2" fillId="0" borderId="27" xfId="3" applyFont="1" applyBorder="1"/>
    <xf numFmtId="9" fontId="2" fillId="0" borderId="27" xfId="3" applyNumberFormat="1" applyFont="1" applyBorder="1"/>
    <xf numFmtId="167" fontId="2" fillId="0" borderId="27" xfId="0" applyNumberFormat="1" applyFont="1" applyBorder="1"/>
    <xf numFmtId="9" fontId="2" fillId="0" borderId="27" xfId="3" applyFont="1" applyBorder="1" applyAlignment="1">
      <alignment horizontal="left" wrapText="1"/>
    </xf>
    <xf numFmtId="0" fontId="2" fillId="0" borderId="0" xfId="0" applyFont="1" applyAlignment="1">
      <alignment wrapText="1"/>
    </xf>
    <xf numFmtId="0" fontId="2" fillId="0" borderId="0" xfId="0" applyFont="1"/>
    <xf numFmtId="0" fontId="2" fillId="0" borderId="27" xfId="0" applyFont="1" applyBorder="1" applyAlignment="1">
      <alignment horizontal="left" wrapText="1"/>
    </xf>
    <xf numFmtId="0" fontId="2" fillId="0" borderId="27" xfId="0" applyFont="1" applyBorder="1" applyAlignment="1">
      <alignment horizontal="left" wrapText="1" indent="1"/>
    </xf>
    <xf numFmtId="166" fontId="2" fillId="56" borderId="27" xfId="2" applyNumberFormat="1" applyFont="1" applyFill="1" applyBorder="1"/>
    <xf numFmtId="9" fontId="2" fillId="56" borderId="27" xfId="3" applyFont="1" applyFill="1" applyBorder="1"/>
    <xf numFmtId="165" fontId="2" fillId="56" borderId="27" xfId="1" applyNumberFormat="1" applyFont="1" applyFill="1" applyBorder="1"/>
    <xf numFmtId="164" fontId="2" fillId="56" borderId="27" xfId="3" applyNumberFormat="1" applyFont="1" applyFill="1" applyBorder="1"/>
    <xf numFmtId="165" fontId="2" fillId="57" borderId="27" xfId="1" applyNumberFormat="1" applyFont="1" applyFill="1" applyBorder="1"/>
    <xf numFmtId="164" fontId="2" fillId="57" borderId="27" xfId="3" applyNumberFormat="1" applyFont="1" applyFill="1" applyBorder="1"/>
    <xf numFmtId="9" fontId="2" fillId="57" borderId="27" xfId="3" applyFont="1" applyFill="1" applyBorder="1"/>
    <xf numFmtId="164" fontId="2" fillId="57" borderId="27" xfId="0" applyNumberFormat="1" applyFont="1" applyFill="1" applyBorder="1"/>
    <xf numFmtId="166" fontId="2" fillId="57" borderId="27" xfId="2" applyNumberFormat="1" applyFont="1" applyFill="1" applyBorder="1"/>
    <xf numFmtId="0" fontId="41" fillId="0" borderId="27" xfId="0" applyFont="1" applyBorder="1" applyAlignment="1">
      <alignment horizontal="center"/>
    </xf>
    <xf numFmtId="164" fontId="50" fillId="0" borderId="10" xfId="4" applyNumberFormat="1" applyFont="1" applyBorder="1" applyAlignment="1">
      <alignment horizontal="center"/>
    </xf>
    <xf numFmtId="0" fontId="0" fillId="0" borderId="27" xfId="0" applyBorder="1" applyAlignment="1">
      <alignment wrapText="1"/>
    </xf>
    <xf numFmtId="0" fontId="1" fillId="0" borderId="27" xfId="0" applyFont="1" applyBorder="1" applyAlignment="1">
      <alignment horizontal="left" wrapText="1"/>
    </xf>
    <xf numFmtId="166" fontId="1" fillId="57" borderId="27" xfId="2" applyNumberFormat="1" applyFont="1" applyFill="1" applyBorder="1"/>
    <xf numFmtId="9" fontId="1" fillId="0" borderId="27" xfId="3" applyNumberFormat="1" applyFont="1" applyBorder="1"/>
    <xf numFmtId="9" fontId="1" fillId="0" borderId="27" xfId="3" applyFont="1" applyBorder="1"/>
    <xf numFmtId="0" fontId="2" fillId="0" borderId="13" xfId="4" applyFont="1" applyBorder="1" applyAlignment="1">
      <alignment horizontal="center"/>
    </xf>
    <xf numFmtId="0" fontId="2" fillId="0" borderId="12" xfId="4" applyFont="1" applyBorder="1" applyAlignment="1">
      <alignment horizontal="center"/>
    </xf>
    <xf numFmtId="0" fontId="2" fillId="0" borderId="0" xfId="4" applyFont="1" applyBorder="1" applyAlignment="1">
      <alignment horizontal="center"/>
    </xf>
    <xf numFmtId="164" fontId="2" fillId="0" borderId="13" xfId="4" applyNumberFormat="1" applyFont="1" applyBorder="1" applyAlignment="1">
      <alignment horizontal="center"/>
    </xf>
    <xf numFmtId="164" fontId="50" fillId="0" borderId="11" xfId="4" applyNumberFormat="1" applyFont="1" applyBorder="1" applyAlignment="1">
      <alignment horizontal="center"/>
    </xf>
    <xf numFmtId="164" fontId="2" fillId="0" borderId="0" xfId="3" applyNumberFormat="1" applyFont="1" applyBorder="1" applyAlignment="1">
      <alignment horizontal="center"/>
    </xf>
    <xf numFmtId="164" fontId="2" fillId="0" borderId="12" xfId="3" applyNumberFormat="1" applyFont="1" applyBorder="1" applyAlignment="1">
      <alignment horizontal="center"/>
    </xf>
    <xf numFmtId="164" fontId="2" fillId="0" borderId="13" xfId="3" applyNumberFormat="1" applyFont="1" applyBorder="1" applyAlignment="1">
      <alignment horizontal="center"/>
    </xf>
    <xf numFmtId="10" fontId="2" fillId="57" borderId="27" xfId="3" applyNumberFormat="1" applyFont="1" applyFill="1" applyBorder="1"/>
    <xf numFmtId="9" fontId="0" fillId="0" borderId="27" xfId="3" applyFont="1" applyBorder="1"/>
    <xf numFmtId="0" fontId="0" fillId="0" borderId="0" xfId="0" applyBorder="1" applyAlignment="1">
      <alignment horizontal="center" vertical="top" wrapText="1"/>
    </xf>
    <xf numFmtId="0" fontId="41" fillId="0" borderId="27" xfId="0" applyFont="1" applyBorder="1" applyAlignment="1">
      <alignment horizontal="center"/>
    </xf>
    <xf numFmtId="0" fontId="41" fillId="0" borderId="28" xfId="0" applyFont="1" applyBorder="1" applyAlignment="1">
      <alignment horizontal="center" wrapText="1"/>
    </xf>
    <xf numFmtId="0" fontId="41" fillId="0" borderId="29" xfId="0" applyFont="1" applyBorder="1" applyAlignment="1">
      <alignment horizontal="center" wrapText="1"/>
    </xf>
    <xf numFmtId="0" fontId="41" fillId="0" borderId="30" xfId="0" applyFont="1" applyBorder="1" applyAlignment="1">
      <alignment horizontal="center" wrapText="1"/>
    </xf>
    <xf numFmtId="0" fontId="2" fillId="0" borderId="0" xfId="0" applyFont="1" applyAlignment="1">
      <alignment horizontal="left" wrapText="1"/>
    </xf>
    <xf numFmtId="0" fontId="1" fillId="0" borderId="0" xfId="0" applyFont="1" applyAlignment="1">
      <alignment horizontal="left" wrapText="1"/>
    </xf>
    <xf numFmtId="0" fontId="2" fillId="0" borderId="0" xfId="0" applyFont="1" applyAlignment="1">
      <alignment horizontal="center" wrapText="1"/>
    </xf>
    <xf numFmtId="0" fontId="41" fillId="0" borderId="28" xfId="0" applyFont="1" applyBorder="1" applyAlignment="1">
      <alignment horizontal="center"/>
    </xf>
    <xf numFmtId="0" fontId="41" fillId="0" borderId="29" xfId="0" applyFont="1" applyBorder="1" applyAlignment="1">
      <alignment horizontal="center"/>
    </xf>
    <xf numFmtId="0" fontId="41" fillId="0" borderId="30" xfId="0" applyFont="1" applyBorder="1" applyAlignment="1">
      <alignment horizontal="center"/>
    </xf>
    <xf numFmtId="0" fontId="2" fillId="0" borderId="0" xfId="4" applyFont="1" applyAlignment="1">
      <alignment horizontal="left" vertical="top" wrapText="1"/>
    </xf>
    <xf numFmtId="0" fontId="41" fillId="0" borderId="15" xfId="4" applyFont="1" applyBorder="1" applyAlignment="1">
      <alignment horizontal="center"/>
    </xf>
    <xf numFmtId="0" fontId="41" fillId="0" borderId="14" xfId="4" applyFont="1" applyBorder="1" applyAlignment="1">
      <alignment horizontal="center"/>
    </xf>
    <xf numFmtId="0" fontId="41" fillId="0" borderId="17" xfId="4" applyFont="1" applyBorder="1" applyAlignment="1">
      <alignment horizontal="center"/>
    </xf>
    <xf numFmtId="0" fontId="9" fillId="0" borderId="0" xfId="5" applyFont="1" applyAlignment="1">
      <alignment horizontal="left" vertical="top" wrapText="1"/>
    </xf>
    <xf numFmtId="9" fontId="2" fillId="57" borderId="27" xfId="3" applyNumberFormat="1" applyFont="1" applyFill="1" applyBorder="1"/>
  </cellXfs>
  <cellStyles count="122">
    <cellStyle name="20% - Accent1 2" xfId="9" xr:uid="{00000000-0005-0000-0000-000000000000}"/>
    <cellStyle name="20% - Accent1 2 2" xfId="10" xr:uid="{00000000-0005-0000-0000-000001000000}"/>
    <cellStyle name="20% - Accent2 2" xfId="11" xr:uid="{00000000-0005-0000-0000-000002000000}"/>
    <cellStyle name="20% - Accent2 2 2" xfId="12" xr:uid="{00000000-0005-0000-0000-000003000000}"/>
    <cellStyle name="20% - Accent3 2" xfId="13" xr:uid="{00000000-0005-0000-0000-000004000000}"/>
    <cellStyle name="20% - Accent3 2 2" xfId="14" xr:uid="{00000000-0005-0000-0000-000005000000}"/>
    <cellStyle name="20% - Accent4 2" xfId="15" xr:uid="{00000000-0005-0000-0000-000006000000}"/>
    <cellStyle name="20% - Accent4 2 2" xfId="16" xr:uid="{00000000-0005-0000-0000-000007000000}"/>
    <cellStyle name="20% - Accent5 2" xfId="17" xr:uid="{00000000-0005-0000-0000-000008000000}"/>
    <cellStyle name="20% - Accent5 2 2" xfId="18" xr:uid="{00000000-0005-0000-0000-000009000000}"/>
    <cellStyle name="20% - Accent6 2" xfId="19" xr:uid="{00000000-0005-0000-0000-00000A000000}"/>
    <cellStyle name="20% - Accent6 2 2" xfId="20" xr:uid="{00000000-0005-0000-0000-00000B000000}"/>
    <cellStyle name="40% - Accent1 2" xfId="21" xr:uid="{00000000-0005-0000-0000-00000C000000}"/>
    <cellStyle name="40% - Accent1 2 2" xfId="22" xr:uid="{00000000-0005-0000-0000-00000D000000}"/>
    <cellStyle name="40% - Accent2 2" xfId="23" xr:uid="{00000000-0005-0000-0000-00000E000000}"/>
    <cellStyle name="40% - Accent2 2 2" xfId="24" xr:uid="{00000000-0005-0000-0000-00000F000000}"/>
    <cellStyle name="40% - Accent3 2" xfId="25" xr:uid="{00000000-0005-0000-0000-000010000000}"/>
    <cellStyle name="40% - Accent3 2 2" xfId="26" xr:uid="{00000000-0005-0000-0000-000011000000}"/>
    <cellStyle name="40% - Accent4 2" xfId="27" xr:uid="{00000000-0005-0000-0000-000012000000}"/>
    <cellStyle name="40% - Accent4 2 2" xfId="28" xr:uid="{00000000-0005-0000-0000-000013000000}"/>
    <cellStyle name="40% - Accent5 2" xfId="29" xr:uid="{00000000-0005-0000-0000-000014000000}"/>
    <cellStyle name="40% - Accent5 2 2" xfId="30" xr:uid="{00000000-0005-0000-0000-000015000000}"/>
    <cellStyle name="40% - Accent6 2" xfId="31" xr:uid="{00000000-0005-0000-0000-000016000000}"/>
    <cellStyle name="40% - Accent6 2 2" xfId="32" xr:uid="{00000000-0005-0000-0000-000017000000}"/>
    <cellStyle name="60% - Accent1 2" xfId="33" xr:uid="{00000000-0005-0000-0000-000018000000}"/>
    <cellStyle name="60% - Accent1 2 2" xfId="34" xr:uid="{00000000-0005-0000-0000-000019000000}"/>
    <cellStyle name="60% - Accent2 2" xfId="35" xr:uid="{00000000-0005-0000-0000-00001A000000}"/>
    <cellStyle name="60% - Accent2 2 2" xfId="36" xr:uid="{00000000-0005-0000-0000-00001B000000}"/>
    <cellStyle name="60% - Accent3 2" xfId="37" xr:uid="{00000000-0005-0000-0000-00001C000000}"/>
    <cellStyle name="60% - Accent3 2 2" xfId="38" xr:uid="{00000000-0005-0000-0000-00001D000000}"/>
    <cellStyle name="60% - Accent4 2" xfId="39" xr:uid="{00000000-0005-0000-0000-00001E000000}"/>
    <cellStyle name="60% - Accent4 2 2" xfId="40" xr:uid="{00000000-0005-0000-0000-00001F000000}"/>
    <cellStyle name="60% - Accent5 2" xfId="41" xr:uid="{00000000-0005-0000-0000-000020000000}"/>
    <cellStyle name="60% - Accent5 2 2" xfId="42" xr:uid="{00000000-0005-0000-0000-000021000000}"/>
    <cellStyle name="60% - Accent6 2" xfId="43" xr:uid="{00000000-0005-0000-0000-000022000000}"/>
    <cellStyle name="60% - Accent6 2 2" xfId="44" xr:uid="{00000000-0005-0000-0000-000023000000}"/>
    <cellStyle name="Accent1 2" xfId="45" xr:uid="{00000000-0005-0000-0000-000024000000}"/>
    <cellStyle name="Accent1 2 2" xfId="46" xr:uid="{00000000-0005-0000-0000-000025000000}"/>
    <cellStyle name="Accent2 2" xfId="47" xr:uid="{00000000-0005-0000-0000-000026000000}"/>
    <cellStyle name="Accent2 2 2" xfId="48" xr:uid="{00000000-0005-0000-0000-000027000000}"/>
    <cellStyle name="Accent3 2" xfId="49" xr:uid="{00000000-0005-0000-0000-000028000000}"/>
    <cellStyle name="Accent3 2 2" xfId="50" xr:uid="{00000000-0005-0000-0000-000029000000}"/>
    <cellStyle name="Accent4 2" xfId="51" xr:uid="{00000000-0005-0000-0000-00002A000000}"/>
    <cellStyle name="Accent4 2 2" xfId="52" xr:uid="{00000000-0005-0000-0000-00002B000000}"/>
    <cellStyle name="Accent5 2" xfId="53" xr:uid="{00000000-0005-0000-0000-00002C000000}"/>
    <cellStyle name="Accent5 2 2" xfId="54" xr:uid="{00000000-0005-0000-0000-00002D000000}"/>
    <cellStyle name="Accent6 2" xfId="55" xr:uid="{00000000-0005-0000-0000-00002E000000}"/>
    <cellStyle name="Accent6 2 2" xfId="56" xr:uid="{00000000-0005-0000-0000-00002F000000}"/>
    <cellStyle name="Bad 2" xfId="57" xr:uid="{00000000-0005-0000-0000-000030000000}"/>
    <cellStyle name="Bad 2 2" xfId="58" xr:uid="{00000000-0005-0000-0000-000031000000}"/>
    <cellStyle name="Calculation 2" xfId="59" xr:uid="{00000000-0005-0000-0000-000032000000}"/>
    <cellStyle name="Calculation 2 2" xfId="60" xr:uid="{00000000-0005-0000-0000-000033000000}"/>
    <cellStyle name="Check Cell 2" xfId="61" xr:uid="{00000000-0005-0000-0000-000034000000}"/>
    <cellStyle name="Check Cell 2 2" xfId="62" xr:uid="{00000000-0005-0000-0000-000035000000}"/>
    <cellStyle name="Comma" xfId="1" builtinId="3"/>
    <cellStyle name="Comma 2" xfId="7" xr:uid="{00000000-0005-0000-0000-000037000000}"/>
    <cellStyle name="Comma 2 2" xfId="63" xr:uid="{00000000-0005-0000-0000-000038000000}"/>
    <cellStyle name="Comma 3" xfId="64" xr:uid="{00000000-0005-0000-0000-000039000000}"/>
    <cellStyle name="Currency" xfId="2" builtinId="4"/>
    <cellStyle name="Currency 2" xfId="65" xr:uid="{00000000-0005-0000-0000-00003B000000}"/>
    <cellStyle name="Explanatory Text 2" xfId="66" xr:uid="{00000000-0005-0000-0000-00003C000000}"/>
    <cellStyle name="Explanatory Text 2 2" xfId="67" xr:uid="{00000000-0005-0000-0000-00003D000000}"/>
    <cellStyle name="Followed Hyperlink" xfId="120" builtinId="9" hidden="1"/>
    <cellStyle name="Followed Hyperlink" xfId="121" builtinId="9" hidden="1"/>
    <cellStyle name="Good 2" xfId="68" xr:uid="{00000000-0005-0000-0000-000040000000}"/>
    <cellStyle name="Good 2 2" xfId="69" xr:uid="{00000000-0005-0000-0000-000041000000}"/>
    <cellStyle name="Heading 1 2" xfId="70" xr:uid="{00000000-0005-0000-0000-000042000000}"/>
    <cellStyle name="Heading 1 2 2" xfId="71" xr:uid="{00000000-0005-0000-0000-000043000000}"/>
    <cellStyle name="Heading 2 2" xfId="72" xr:uid="{00000000-0005-0000-0000-000044000000}"/>
    <cellStyle name="Heading 2 2 2" xfId="73" xr:uid="{00000000-0005-0000-0000-000045000000}"/>
    <cellStyle name="Heading 3 2" xfId="74" xr:uid="{00000000-0005-0000-0000-000046000000}"/>
    <cellStyle name="Heading 3 2 2" xfId="75" xr:uid="{00000000-0005-0000-0000-000047000000}"/>
    <cellStyle name="Heading 4 2" xfId="76" xr:uid="{00000000-0005-0000-0000-000048000000}"/>
    <cellStyle name="Heading 4 2 2" xfId="77" xr:uid="{00000000-0005-0000-0000-000049000000}"/>
    <cellStyle name="Hyperlink" xfId="8" builtinId="8"/>
    <cellStyle name="Input 2" xfId="78" xr:uid="{00000000-0005-0000-0000-00004B000000}"/>
    <cellStyle name="Input 2 2" xfId="79" xr:uid="{00000000-0005-0000-0000-00004C000000}"/>
    <cellStyle name="Linked Cell 2" xfId="80" xr:uid="{00000000-0005-0000-0000-00004D000000}"/>
    <cellStyle name="Linked Cell 2 2" xfId="81" xr:uid="{00000000-0005-0000-0000-00004E000000}"/>
    <cellStyle name="Neutral 2" xfId="82" xr:uid="{00000000-0005-0000-0000-00004F000000}"/>
    <cellStyle name="Neutral 2 2" xfId="83" xr:uid="{00000000-0005-0000-0000-000050000000}"/>
    <cellStyle name="Normal" xfId="0" builtinId="0"/>
    <cellStyle name="Normal 2" xfId="4" xr:uid="{00000000-0005-0000-0000-000052000000}"/>
    <cellStyle name="Normal 2 2" xfId="5" xr:uid="{00000000-0005-0000-0000-000053000000}"/>
    <cellStyle name="Normal 2 3" xfId="84" xr:uid="{00000000-0005-0000-0000-000054000000}"/>
    <cellStyle name="Normal 3" xfId="85" xr:uid="{00000000-0005-0000-0000-000055000000}"/>
    <cellStyle name="Normal 3 2" xfId="86" xr:uid="{00000000-0005-0000-0000-000056000000}"/>
    <cellStyle name="Normal 3 3" xfId="87" xr:uid="{00000000-0005-0000-0000-000057000000}"/>
    <cellStyle name="Normal 4" xfId="88" xr:uid="{00000000-0005-0000-0000-000058000000}"/>
    <cellStyle name="Normal 4 2" xfId="89" xr:uid="{00000000-0005-0000-0000-000059000000}"/>
    <cellStyle name="Normal 4 3" xfId="90" xr:uid="{00000000-0005-0000-0000-00005A000000}"/>
    <cellStyle name="Normal 5" xfId="91" xr:uid="{00000000-0005-0000-0000-00005B000000}"/>
    <cellStyle name="Normal 5 2" xfId="92" xr:uid="{00000000-0005-0000-0000-00005C000000}"/>
    <cellStyle name="Normal 5 3" xfId="93" xr:uid="{00000000-0005-0000-0000-00005D000000}"/>
    <cellStyle name="Normal 6" xfId="94" xr:uid="{00000000-0005-0000-0000-00005E000000}"/>
    <cellStyle name="Normal 6 2" xfId="95" xr:uid="{00000000-0005-0000-0000-00005F000000}"/>
    <cellStyle name="Normal 7" xfId="96" xr:uid="{00000000-0005-0000-0000-000060000000}"/>
    <cellStyle name="Note 2" xfId="97" xr:uid="{00000000-0005-0000-0000-000061000000}"/>
    <cellStyle name="Note 2 2" xfId="98" xr:uid="{00000000-0005-0000-0000-000062000000}"/>
    <cellStyle name="Output 2" xfId="99" xr:uid="{00000000-0005-0000-0000-000063000000}"/>
    <cellStyle name="Output 2 2" xfId="100" xr:uid="{00000000-0005-0000-0000-000064000000}"/>
    <cellStyle name="Percent" xfId="3" builtinId="5"/>
    <cellStyle name="Percent 2" xfId="6" xr:uid="{00000000-0005-0000-0000-000066000000}"/>
    <cellStyle name="Percent 2 2" xfId="101" xr:uid="{00000000-0005-0000-0000-000067000000}"/>
    <cellStyle name="Percent 3" xfId="102" xr:uid="{00000000-0005-0000-0000-000068000000}"/>
    <cellStyle name="Percent 3 2" xfId="103" xr:uid="{00000000-0005-0000-0000-000069000000}"/>
    <cellStyle name="Percent 3 3" xfId="104" xr:uid="{00000000-0005-0000-0000-00006A000000}"/>
    <cellStyle name="Percent 4" xfId="105" xr:uid="{00000000-0005-0000-0000-00006B000000}"/>
    <cellStyle name="Percent 4 2" xfId="106" xr:uid="{00000000-0005-0000-0000-00006C000000}"/>
    <cellStyle name="Percent 4 3" xfId="107" xr:uid="{00000000-0005-0000-0000-00006D000000}"/>
    <cellStyle name="Percent 5" xfId="108" xr:uid="{00000000-0005-0000-0000-00006E000000}"/>
    <cellStyle name="Percent 5 2" xfId="109" xr:uid="{00000000-0005-0000-0000-00006F000000}"/>
    <cellStyle name="Percent 5 3" xfId="110" xr:uid="{00000000-0005-0000-0000-000070000000}"/>
    <cellStyle name="Percent 6" xfId="111" xr:uid="{00000000-0005-0000-0000-000071000000}"/>
    <cellStyle name="Percent 7" xfId="112" xr:uid="{00000000-0005-0000-0000-000072000000}"/>
    <cellStyle name="Percent 8" xfId="113" xr:uid="{00000000-0005-0000-0000-000073000000}"/>
    <cellStyle name="Title 2" xfId="114" xr:uid="{00000000-0005-0000-0000-000074000000}"/>
    <cellStyle name="Title 2 2" xfId="115" xr:uid="{00000000-0005-0000-0000-000075000000}"/>
    <cellStyle name="Total 2" xfId="116" xr:uid="{00000000-0005-0000-0000-000076000000}"/>
    <cellStyle name="Total 2 2" xfId="117" xr:uid="{00000000-0005-0000-0000-000077000000}"/>
    <cellStyle name="Warning Text 2" xfId="118" xr:uid="{00000000-0005-0000-0000-000078000000}"/>
    <cellStyle name="Warning Text 2 2" xfId="119" xr:uid="{00000000-0005-0000-0000-000079000000}"/>
  </cellStyles>
  <dxfs count="0"/>
  <tableStyles count="0" defaultTableStyle="TableStyleMedium9" defaultPivotStyle="PivotStyleMedium7"/>
  <colors>
    <mruColors>
      <color rgb="FF75DB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464820</xdr:colOff>
      <xdr:row>0</xdr:row>
      <xdr:rowOff>137160</xdr:rowOff>
    </xdr:from>
    <xdr:to>
      <xdr:col>5</xdr:col>
      <xdr:colOff>303012</xdr:colOff>
      <xdr:row>6</xdr:row>
      <xdr:rowOff>99060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979420" y="137160"/>
          <a:ext cx="1514592" cy="115062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6"/>
  <sheetViews>
    <sheetView tabSelected="1" zoomScale="160" zoomScaleNormal="160" workbookViewId="0"/>
  </sheetViews>
  <sheetFormatPr baseColWidth="10" defaultColWidth="11" defaultRowHeight="16"/>
  <sheetData>
    <row r="1" spans="1:10">
      <c r="A1" s="9"/>
      <c r="B1" s="9"/>
      <c r="C1" s="9"/>
      <c r="D1" s="9"/>
      <c r="E1" s="9"/>
      <c r="F1" s="9"/>
      <c r="G1" s="9"/>
      <c r="H1" s="9"/>
      <c r="I1" s="9"/>
      <c r="J1" s="9"/>
    </row>
    <row r="2" spans="1:10">
      <c r="A2" s="9"/>
      <c r="B2" s="9"/>
      <c r="C2" s="9"/>
      <c r="D2" s="9"/>
      <c r="E2" s="9"/>
      <c r="F2" s="9"/>
      <c r="G2" s="9"/>
      <c r="H2" s="9"/>
      <c r="I2" s="9"/>
      <c r="J2" s="9"/>
    </row>
    <row r="3" spans="1:10" ht="16" customHeight="1">
      <c r="A3" s="10"/>
      <c r="B3" s="10"/>
      <c r="C3" s="10"/>
      <c r="D3" s="10"/>
      <c r="E3" s="10"/>
      <c r="F3" s="10"/>
      <c r="G3" s="10"/>
      <c r="H3" s="10"/>
      <c r="I3" s="9"/>
      <c r="J3" s="9"/>
    </row>
    <row r="4" spans="1:10">
      <c r="A4" s="10"/>
      <c r="B4" s="10"/>
      <c r="C4" s="10"/>
      <c r="D4" s="10"/>
      <c r="E4" s="10"/>
      <c r="F4" s="10"/>
      <c r="G4" s="10"/>
      <c r="H4" s="10"/>
      <c r="I4" s="9"/>
      <c r="J4" s="9"/>
    </row>
    <row r="5" spans="1:10">
      <c r="A5" s="10"/>
      <c r="B5" s="10"/>
      <c r="C5" s="10"/>
      <c r="D5" s="10"/>
      <c r="E5" s="10"/>
      <c r="F5" s="10"/>
      <c r="G5" s="10"/>
      <c r="H5" s="10"/>
      <c r="I5" s="9"/>
      <c r="J5" s="9"/>
    </row>
    <row r="6" spans="1:10">
      <c r="A6" s="10"/>
      <c r="B6" s="10"/>
      <c r="C6" s="10"/>
      <c r="D6" s="10"/>
      <c r="E6" s="10"/>
      <c r="F6" s="10"/>
      <c r="G6" s="10"/>
      <c r="H6" s="10"/>
      <c r="I6" s="9"/>
      <c r="J6" s="9"/>
    </row>
    <row r="7" spans="1:10">
      <c r="A7" s="10"/>
      <c r="B7" s="10"/>
      <c r="C7" s="10"/>
      <c r="D7" s="10"/>
      <c r="E7" s="10"/>
      <c r="F7" s="10"/>
      <c r="G7" s="10"/>
      <c r="H7" s="10"/>
      <c r="I7" s="9"/>
      <c r="J7" s="9"/>
    </row>
    <row r="8" spans="1:10" ht="16" customHeight="1">
      <c r="A8" s="79" t="s">
        <v>37</v>
      </c>
      <c r="B8" s="79"/>
      <c r="C8" s="79"/>
      <c r="D8" s="79"/>
      <c r="E8" s="79"/>
      <c r="F8" s="79"/>
      <c r="G8" s="79"/>
      <c r="H8" s="79"/>
      <c r="I8" s="79"/>
      <c r="J8" s="11"/>
    </row>
    <row r="9" spans="1:10">
      <c r="A9" s="79"/>
      <c r="B9" s="79"/>
      <c r="C9" s="79"/>
      <c r="D9" s="79"/>
      <c r="E9" s="79"/>
      <c r="F9" s="79"/>
      <c r="G9" s="79"/>
      <c r="H9" s="79"/>
      <c r="I9" s="79"/>
      <c r="J9" s="11"/>
    </row>
    <row r="10" spans="1:10">
      <c r="A10" s="79"/>
      <c r="B10" s="79"/>
      <c r="C10" s="79"/>
      <c r="D10" s="79"/>
      <c r="E10" s="79"/>
      <c r="F10" s="79"/>
      <c r="G10" s="79"/>
      <c r="H10" s="79"/>
      <c r="I10" s="79"/>
      <c r="J10" s="11"/>
    </row>
    <row r="11" spans="1:10">
      <c r="A11" s="79"/>
      <c r="B11" s="79"/>
      <c r="C11" s="79"/>
      <c r="D11" s="79"/>
      <c r="E11" s="79"/>
      <c r="F11" s="79"/>
      <c r="G11" s="79"/>
      <c r="H11" s="79"/>
      <c r="I11" s="79"/>
      <c r="J11" s="11"/>
    </row>
    <row r="12" spans="1:10">
      <c r="A12" s="79"/>
      <c r="B12" s="79"/>
      <c r="C12" s="79"/>
      <c r="D12" s="79"/>
      <c r="E12" s="79"/>
      <c r="F12" s="79"/>
      <c r="G12" s="79"/>
      <c r="H12" s="79"/>
      <c r="I12" s="79"/>
      <c r="J12" s="11"/>
    </row>
    <row r="13" spans="1:10">
      <c r="A13" s="79"/>
      <c r="B13" s="79"/>
      <c r="C13" s="79"/>
      <c r="D13" s="79"/>
      <c r="E13" s="79"/>
      <c r="F13" s="79"/>
      <c r="G13" s="79"/>
      <c r="H13" s="79"/>
      <c r="I13" s="79"/>
      <c r="J13" s="11"/>
    </row>
    <row r="14" spans="1:10" ht="61.5" customHeight="1">
      <c r="A14" s="79"/>
      <c r="B14" s="79"/>
      <c r="C14" s="79"/>
      <c r="D14" s="79"/>
      <c r="E14" s="79"/>
      <c r="F14" s="79"/>
      <c r="G14" s="79"/>
      <c r="H14" s="79"/>
      <c r="I14" s="79"/>
      <c r="J14" s="11"/>
    </row>
    <row r="15" spans="1:10">
      <c r="A15" s="11"/>
      <c r="B15" s="11"/>
      <c r="C15" s="11"/>
      <c r="D15" s="11"/>
      <c r="E15" s="11"/>
      <c r="F15" s="11"/>
      <c r="G15" s="11"/>
      <c r="H15" s="11"/>
      <c r="I15" s="11"/>
      <c r="J15" s="11"/>
    </row>
    <row r="16" spans="1:10">
      <c r="A16" s="11"/>
      <c r="B16" s="11"/>
      <c r="C16" s="11"/>
      <c r="D16" s="11"/>
      <c r="E16" s="11"/>
      <c r="F16" s="11"/>
      <c r="G16" s="11"/>
      <c r="H16" s="11"/>
      <c r="I16" s="11"/>
      <c r="J16" s="11"/>
    </row>
    <row r="17" spans="1:10">
      <c r="A17" s="11"/>
      <c r="B17" s="11"/>
      <c r="C17" s="11"/>
      <c r="D17" s="11"/>
      <c r="E17" s="11"/>
      <c r="F17" s="12"/>
      <c r="G17" s="11"/>
      <c r="H17" s="11"/>
      <c r="I17" s="11"/>
      <c r="J17" s="9"/>
    </row>
    <row r="18" spans="1:10">
      <c r="A18" s="11"/>
      <c r="B18" s="11"/>
      <c r="C18" s="11"/>
      <c r="D18" s="11"/>
      <c r="E18" s="11"/>
      <c r="F18" s="11"/>
      <c r="G18" s="11"/>
      <c r="H18" s="11"/>
      <c r="I18" s="11"/>
      <c r="J18" s="9"/>
    </row>
    <row r="19" spans="1:10">
      <c r="A19" s="8"/>
      <c r="B19" s="8"/>
      <c r="C19" s="8"/>
      <c r="D19" s="8"/>
      <c r="E19" s="8"/>
      <c r="F19" s="8"/>
      <c r="G19" s="8"/>
      <c r="H19" s="8"/>
      <c r="I19" s="8"/>
    </row>
    <row r="20" spans="1:10">
      <c r="A20" s="8"/>
      <c r="B20" s="8"/>
      <c r="C20" s="8"/>
      <c r="D20" s="8"/>
      <c r="E20" s="8"/>
      <c r="F20" s="8"/>
      <c r="G20" s="8"/>
      <c r="H20" s="8"/>
      <c r="I20" s="8"/>
    </row>
    <row r="21" spans="1:10">
      <c r="A21" s="8"/>
      <c r="B21" s="8"/>
      <c r="C21" s="8"/>
      <c r="D21" s="8"/>
      <c r="E21" s="8"/>
      <c r="F21" s="8"/>
      <c r="G21" s="8"/>
      <c r="H21" s="8"/>
      <c r="I21" s="8"/>
    </row>
    <row r="22" spans="1:10">
      <c r="A22" s="8"/>
      <c r="B22" s="8"/>
      <c r="C22" s="8"/>
      <c r="D22" s="8"/>
      <c r="E22" s="8"/>
      <c r="F22" s="8"/>
      <c r="G22" s="8"/>
      <c r="H22" s="8"/>
      <c r="I22" s="8"/>
    </row>
    <row r="23" spans="1:10">
      <c r="A23" s="8"/>
      <c r="B23" s="8"/>
      <c r="C23" s="8"/>
      <c r="D23" s="8"/>
      <c r="E23" s="8"/>
      <c r="F23" s="8"/>
      <c r="G23" s="8"/>
      <c r="H23" s="8"/>
      <c r="I23" s="8"/>
    </row>
    <row r="24" spans="1:10">
      <c r="A24" s="8"/>
      <c r="B24" s="8"/>
      <c r="C24" s="8"/>
      <c r="D24" s="8"/>
      <c r="E24" s="8"/>
      <c r="F24" s="8"/>
      <c r="G24" s="8"/>
      <c r="H24" s="8"/>
      <c r="I24" s="8"/>
    </row>
    <row r="25" spans="1:10">
      <c r="A25" s="7"/>
      <c r="B25" s="7"/>
      <c r="C25" s="7"/>
      <c r="D25" s="7"/>
      <c r="E25" s="7"/>
      <c r="F25" s="7"/>
      <c r="G25" s="7"/>
      <c r="H25" s="7"/>
    </row>
    <row r="26" spans="1:10">
      <c r="A26" s="7"/>
      <c r="B26" s="7"/>
      <c r="C26" s="7"/>
      <c r="D26" s="7"/>
      <c r="E26" s="7"/>
      <c r="F26" s="7"/>
      <c r="G26" s="7"/>
      <c r="H26" s="7"/>
    </row>
  </sheetData>
  <mergeCells count="1">
    <mergeCell ref="A8:I1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7"/>
  <sheetViews>
    <sheetView zoomScale="150" zoomScaleNormal="150" workbookViewId="0"/>
  </sheetViews>
  <sheetFormatPr baseColWidth="10" defaultColWidth="11" defaultRowHeight="15"/>
  <cols>
    <col min="1" max="1" width="40.83203125" style="49" customWidth="1"/>
    <col min="2" max="2" width="14" style="50" bestFit="1" customWidth="1"/>
    <col min="3" max="3" width="17.83203125" style="50" customWidth="1"/>
    <col min="4" max="4" width="16.6640625" style="50" customWidth="1"/>
    <col min="5" max="5" width="16.5" style="50" customWidth="1"/>
    <col min="6" max="6" width="15.5" style="50" customWidth="1"/>
    <col min="7" max="7" width="17.33203125" style="50" customWidth="1"/>
    <col min="8" max="16384" width="11" style="50"/>
  </cols>
  <sheetData>
    <row r="1" spans="1:7">
      <c r="A1" s="41"/>
      <c r="B1" s="80" t="s">
        <v>58</v>
      </c>
      <c r="C1" s="80"/>
      <c r="D1" s="80"/>
      <c r="E1" s="80"/>
      <c r="F1" s="80"/>
      <c r="G1" s="42" t="s">
        <v>59</v>
      </c>
    </row>
    <row r="2" spans="1:7" ht="16">
      <c r="A2" s="41"/>
      <c r="B2" s="42" t="s">
        <v>51</v>
      </c>
      <c r="C2" s="43" t="s">
        <v>52</v>
      </c>
      <c r="D2" s="43" t="s">
        <v>53</v>
      </c>
      <c r="E2" s="42" t="s">
        <v>54</v>
      </c>
      <c r="F2" s="42" t="s">
        <v>55</v>
      </c>
      <c r="G2" s="42"/>
    </row>
    <row r="3" spans="1:7" ht="34">
      <c r="A3" s="65" t="s">
        <v>56</v>
      </c>
      <c r="B3" s="53">
        <v>12500</v>
      </c>
      <c r="C3" s="53">
        <v>12500</v>
      </c>
      <c r="D3" s="53">
        <v>12500</v>
      </c>
      <c r="E3" s="53">
        <v>12500</v>
      </c>
      <c r="F3" s="53">
        <v>12500</v>
      </c>
      <c r="G3" s="53">
        <v>12500</v>
      </c>
    </row>
    <row r="4" spans="1:7" ht="16">
      <c r="A4" s="41" t="s">
        <v>0</v>
      </c>
      <c r="B4" s="54">
        <v>0.9</v>
      </c>
      <c r="C4" s="54">
        <v>0.9</v>
      </c>
      <c r="D4" s="54">
        <v>0.9</v>
      </c>
      <c r="E4" s="54">
        <v>0.9</v>
      </c>
      <c r="F4" s="54">
        <v>0.9</v>
      </c>
      <c r="G4" s="54">
        <v>0.9</v>
      </c>
    </row>
    <row r="5" spans="1:7" ht="16">
      <c r="A5" s="41" t="s">
        <v>18</v>
      </c>
      <c r="B5" s="55">
        <v>9000</v>
      </c>
      <c r="C5" s="55">
        <v>9000</v>
      </c>
      <c r="D5" s="55">
        <v>9000</v>
      </c>
      <c r="E5" s="55">
        <v>9000</v>
      </c>
      <c r="F5" s="55">
        <v>9000</v>
      </c>
      <c r="G5" s="55">
        <v>9000</v>
      </c>
    </row>
    <row r="6" spans="1:7" ht="18">
      <c r="A6" s="41" t="s">
        <v>41</v>
      </c>
      <c r="B6" s="55">
        <f>B5</f>
        <v>9000</v>
      </c>
      <c r="C6" s="55">
        <f t="shared" ref="C6:F6" si="0">C5</f>
        <v>9000</v>
      </c>
      <c r="D6" s="55">
        <f t="shared" si="0"/>
        <v>9000</v>
      </c>
      <c r="E6" s="55">
        <f t="shared" si="0"/>
        <v>9000</v>
      </c>
      <c r="F6" s="55">
        <f t="shared" si="0"/>
        <v>9000</v>
      </c>
      <c r="G6" s="55">
        <f t="shared" ref="G6" si="1">G5</f>
        <v>9000</v>
      </c>
    </row>
    <row r="7" spans="1:7" ht="15" customHeight="1">
      <c r="A7" s="41"/>
      <c r="B7" s="81" t="s">
        <v>33</v>
      </c>
      <c r="C7" s="82"/>
      <c r="D7" s="82"/>
      <c r="E7" s="82"/>
      <c r="F7" s="82"/>
      <c r="G7" s="83"/>
    </row>
    <row r="8" spans="1:7" ht="16">
      <c r="A8" s="52" t="s">
        <v>21</v>
      </c>
      <c r="B8" s="57">
        <f>VLOOKUP(B5,'Assigned Beneficiary MSR-MLR'!$A$8:$D$21,1,TRUE)</f>
        <v>9000</v>
      </c>
      <c r="C8" s="57">
        <f>VLOOKUP(C5,'Assigned Beneficiary MSR-MLR'!$A$8:$D$21,1,TRUE)</f>
        <v>9000</v>
      </c>
      <c r="D8" s="57">
        <f>VLOOKUP(D5,'Assigned Beneficiary MSR-MLR'!$A$8:$D$21,1,TRUE)</f>
        <v>9000</v>
      </c>
      <c r="E8" s="57">
        <f>VLOOKUP(E5,'Assigned Beneficiary MSR-MLR'!$A$8:$D$21,1,TRUE)</f>
        <v>9000</v>
      </c>
      <c r="F8" s="57">
        <f>VLOOKUP(F5,'Assigned Beneficiary MSR-MLR'!$A$8:$D$21,1,TRUE)</f>
        <v>9000</v>
      </c>
      <c r="G8" s="57">
        <f>VLOOKUP(G5,'Assigned Beneficiary MSR-MLR'!$A$8:$D$21,1,TRUE)</f>
        <v>9000</v>
      </c>
    </row>
    <row r="9" spans="1:7" ht="16">
      <c r="A9" s="52" t="s">
        <v>22</v>
      </c>
      <c r="B9" s="57">
        <f>VLOOKUP(B5,'Assigned Beneficiary MSR-MLR'!$A$8:$D$21,2,TRUE)</f>
        <v>9999</v>
      </c>
      <c r="C9" s="57">
        <f>VLOOKUP(C5,'Assigned Beneficiary MSR-MLR'!$A$8:$D$21,2,TRUE)</f>
        <v>9999</v>
      </c>
      <c r="D9" s="57">
        <f>VLOOKUP(D5,'Assigned Beneficiary MSR-MLR'!$A$8:$D$21,2,TRUE)</f>
        <v>9999</v>
      </c>
      <c r="E9" s="57">
        <f>VLOOKUP(E5,'Assigned Beneficiary MSR-MLR'!$A$8:$D$21,2,TRUE)</f>
        <v>9999</v>
      </c>
      <c r="F9" s="57">
        <f>VLOOKUP(F5,'Assigned Beneficiary MSR-MLR'!$A$8:$D$21,2,TRUE)</f>
        <v>9999</v>
      </c>
      <c r="G9" s="57">
        <f>VLOOKUP(G5,'Assigned Beneficiary MSR-MLR'!$A$8:$D$21,2,TRUE)</f>
        <v>9999</v>
      </c>
    </row>
    <row r="10" spans="1:7" ht="16">
      <c r="A10" s="52" t="s">
        <v>23</v>
      </c>
      <c r="B10" s="58">
        <f>VLOOKUP(B5,'Assigned Beneficiary MSR-MLR'!$A$8:$D$21,3,TRUE)</f>
        <v>3.1E-2</v>
      </c>
      <c r="C10" s="58">
        <f>VLOOKUP(C5,'Assigned Beneficiary MSR-MLR'!$A$8:$D$21,3,TRUE)</f>
        <v>3.1E-2</v>
      </c>
      <c r="D10" s="58">
        <f>VLOOKUP(D5,'Assigned Beneficiary MSR-MLR'!$A$8:$D$21,3,TRUE)</f>
        <v>3.1E-2</v>
      </c>
      <c r="E10" s="58">
        <f>VLOOKUP(E5,'Assigned Beneficiary MSR-MLR'!$A$8:$D$21,3,TRUE)</f>
        <v>3.1E-2</v>
      </c>
      <c r="F10" s="58">
        <f>VLOOKUP(F5,'Assigned Beneficiary MSR-MLR'!$A$8:$D$21,3,TRUE)</f>
        <v>3.1E-2</v>
      </c>
      <c r="G10" s="58">
        <f>VLOOKUP(G5,'Assigned Beneficiary MSR-MLR'!$A$8:$D$21,3,TRUE)</f>
        <v>3.1E-2</v>
      </c>
    </row>
    <row r="11" spans="1:7" ht="16">
      <c r="A11" s="52" t="s">
        <v>24</v>
      </c>
      <c r="B11" s="58">
        <f>VLOOKUP(B5,'Assigned Beneficiary MSR-MLR'!$A$8:$D$21,4,TRUE)</f>
        <v>0.03</v>
      </c>
      <c r="C11" s="58">
        <f>VLOOKUP(C5,'Assigned Beneficiary MSR-MLR'!$A$8:$D$21,4,TRUE)</f>
        <v>0.03</v>
      </c>
      <c r="D11" s="58">
        <f>VLOOKUP(D5,'Assigned Beneficiary MSR-MLR'!$A$8:$D$21,4,TRUE)</f>
        <v>0.03</v>
      </c>
      <c r="E11" s="58">
        <f>VLOOKUP(E5,'Assigned Beneficiary MSR-MLR'!$A$8:$D$21,4,TRUE)</f>
        <v>0.03</v>
      </c>
      <c r="F11" s="58">
        <f>VLOOKUP(F5,'Assigned Beneficiary MSR-MLR'!$A$8:$D$21,4,TRUE)</f>
        <v>0.03</v>
      </c>
      <c r="G11" s="58">
        <f>VLOOKUP(G5,'Assigned Beneficiary MSR-MLR'!$A$8:$D$21,4,TRUE)</f>
        <v>0.03</v>
      </c>
    </row>
    <row r="12" spans="1:7" ht="16">
      <c r="A12" s="52" t="s">
        <v>20</v>
      </c>
      <c r="B12" s="59">
        <f t="shared" ref="B12:G12" si="2">(B5-B8)/(B9-B8)</f>
        <v>0</v>
      </c>
      <c r="C12" s="59">
        <f t="shared" si="2"/>
        <v>0</v>
      </c>
      <c r="D12" s="59">
        <f t="shared" si="2"/>
        <v>0</v>
      </c>
      <c r="E12" s="59">
        <f t="shared" si="2"/>
        <v>0</v>
      </c>
      <c r="F12" s="59">
        <f t="shared" si="2"/>
        <v>0</v>
      </c>
      <c r="G12" s="59">
        <f t="shared" si="2"/>
        <v>0</v>
      </c>
    </row>
    <row r="13" spans="1:7" ht="16">
      <c r="A13" s="52" t="s">
        <v>19</v>
      </c>
      <c r="B13" s="58">
        <f>(1-B12)*B10+B12*B11</f>
        <v>3.1E-2</v>
      </c>
      <c r="C13" s="58">
        <f t="shared" ref="C13:G13" si="3">(1-C12)*C10+C12*C11</f>
        <v>3.1E-2</v>
      </c>
      <c r="D13" s="58">
        <f t="shared" ref="D13" si="4">(1-D12)*D10+D12*D11</f>
        <v>3.1E-2</v>
      </c>
      <c r="E13" s="58">
        <f t="shared" si="3"/>
        <v>3.1E-2</v>
      </c>
      <c r="F13" s="58">
        <f t="shared" si="3"/>
        <v>3.1E-2</v>
      </c>
      <c r="G13" s="58">
        <f t="shared" si="3"/>
        <v>3.1E-2</v>
      </c>
    </row>
    <row r="14" spans="1:7" ht="15" customHeight="1">
      <c r="A14" s="52"/>
      <c r="B14" s="81" t="s">
        <v>32</v>
      </c>
      <c r="C14" s="82"/>
      <c r="D14" s="82"/>
      <c r="E14" s="82"/>
      <c r="F14" s="82"/>
      <c r="G14" s="83"/>
    </row>
    <row r="15" spans="1:7" ht="16">
      <c r="A15" s="41" t="s">
        <v>25</v>
      </c>
      <c r="B15" s="60">
        <f>B13</f>
        <v>3.1E-2</v>
      </c>
      <c r="C15" s="60">
        <f>C13</f>
        <v>3.1E-2</v>
      </c>
      <c r="D15" s="56">
        <v>1.4999999999999999E-2</v>
      </c>
      <c r="E15" s="56">
        <v>1.4999999999999999E-2</v>
      </c>
      <c r="F15" s="56">
        <v>1.4999999999999999E-2</v>
      </c>
      <c r="G15" s="56">
        <v>1.4999999999999999E-2</v>
      </c>
    </row>
    <row r="16" spans="1:7" ht="50">
      <c r="A16" s="51" t="s">
        <v>42</v>
      </c>
      <c r="B16" s="61" t="s">
        <v>30</v>
      </c>
      <c r="C16" s="61" t="s">
        <v>30</v>
      </c>
      <c r="D16" s="53">
        <v>40000000</v>
      </c>
      <c r="E16" s="53">
        <v>50000000</v>
      </c>
      <c r="F16" s="53">
        <v>60000000</v>
      </c>
      <c r="G16" s="66" t="s">
        <v>30</v>
      </c>
    </row>
    <row r="17" spans="1:7" ht="31" customHeight="1">
      <c r="A17" s="65" t="s">
        <v>46</v>
      </c>
      <c r="B17" s="66" t="s">
        <v>30</v>
      </c>
      <c r="C17" s="66" t="s">
        <v>30</v>
      </c>
      <c r="D17" s="59">
        <v>0.02</v>
      </c>
      <c r="E17" s="59">
        <v>0.04</v>
      </c>
      <c r="F17" s="59">
        <v>0.08</v>
      </c>
      <c r="G17" s="66" t="s">
        <v>30</v>
      </c>
    </row>
    <row r="18" spans="1:7" ht="32">
      <c r="A18" s="65" t="s">
        <v>48</v>
      </c>
      <c r="B18" s="66" t="s">
        <v>30</v>
      </c>
      <c r="C18" s="66" t="s">
        <v>30</v>
      </c>
      <c r="D18" s="66">
        <f>D3*D6</f>
        <v>112500000</v>
      </c>
      <c r="E18" s="66">
        <f>E3*E6</f>
        <v>112500000</v>
      </c>
      <c r="F18" s="66">
        <f>F3*F6</f>
        <v>112500000</v>
      </c>
      <c r="G18" s="66">
        <f>G3*G6</f>
        <v>112500000</v>
      </c>
    </row>
    <row r="19" spans="1:7" ht="32">
      <c r="A19" s="65" t="s">
        <v>47</v>
      </c>
      <c r="B19" s="66" t="s">
        <v>30</v>
      </c>
      <c r="C19" s="66" t="s">
        <v>30</v>
      </c>
      <c r="D19" s="59">
        <v>0.01</v>
      </c>
      <c r="E19" s="59">
        <v>0.02</v>
      </c>
      <c r="F19" s="59">
        <v>0.04</v>
      </c>
      <c r="G19" s="59">
        <v>0.15</v>
      </c>
    </row>
    <row r="20" spans="1:7" ht="32">
      <c r="A20" s="65" t="s">
        <v>50</v>
      </c>
      <c r="B20" s="66" t="s">
        <v>30</v>
      </c>
      <c r="C20" s="66" t="s">
        <v>30</v>
      </c>
      <c r="D20" s="77">
        <f>MIN(D16*D17,D18*D19)/D18</f>
        <v>7.1111111111111115E-3</v>
      </c>
      <c r="E20" s="77">
        <f>MIN(E16*E17,E18*E19)/E18</f>
        <v>1.7777777777777778E-2</v>
      </c>
      <c r="F20" s="77">
        <f>MIN(F16*F17,F18*F19)/F18</f>
        <v>0.04</v>
      </c>
      <c r="G20" s="95">
        <f>G19</f>
        <v>0.15</v>
      </c>
    </row>
    <row r="21" spans="1:7" ht="16">
      <c r="A21" s="41" t="s">
        <v>29</v>
      </c>
      <c r="B21" s="58">
        <v>0.02</v>
      </c>
      <c r="C21" s="58">
        <v>0.02</v>
      </c>
      <c r="D21" s="58">
        <v>0.02</v>
      </c>
      <c r="E21" s="58">
        <v>0.02</v>
      </c>
      <c r="F21" s="58">
        <v>0.02</v>
      </c>
      <c r="G21" s="58">
        <v>0.02</v>
      </c>
    </row>
    <row r="23" spans="1:7">
      <c r="A23" s="85" t="s">
        <v>45</v>
      </c>
      <c r="B23" s="84"/>
      <c r="C23" s="84"/>
      <c r="D23" s="84"/>
      <c r="E23" s="84"/>
      <c r="F23" s="84"/>
    </row>
    <row r="24" spans="1:7">
      <c r="A24" s="86"/>
      <c r="B24" s="86"/>
      <c r="C24" s="86"/>
      <c r="D24" s="86"/>
      <c r="E24" s="86"/>
      <c r="F24" s="86"/>
    </row>
    <row r="25" spans="1:7">
      <c r="A25" s="84" t="s">
        <v>43</v>
      </c>
      <c r="B25" s="84"/>
      <c r="C25" s="84"/>
      <c r="D25" s="84"/>
      <c r="E25" s="84"/>
      <c r="F25" s="84"/>
    </row>
    <row r="26" spans="1:7">
      <c r="A26" s="84" t="s">
        <v>44</v>
      </c>
      <c r="B26" s="84"/>
      <c r="C26" s="84"/>
      <c r="D26" s="84"/>
      <c r="E26" s="84"/>
      <c r="F26" s="84"/>
    </row>
    <row r="27" spans="1:7">
      <c r="A27" s="85" t="s">
        <v>57</v>
      </c>
      <c r="B27" s="84"/>
      <c r="C27" s="84"/>
      <c r="D27" s="84"/>
      <c r="E27" s="84"/>
      <c r="F27" s="84"/>
    </row>
  </sheetData>
  <mergeCells count="8">
    <mergeCell ref="B1:F1"/>
    <mergeCell ref="B7:G7"/>
    <mergeCell ref="B14:G14"/>
    <mergeCell ref="A26:F26"/>
    <mergeCell ref="A27:F27"/>
    <mergeCell ref="A23:F23"/>
    <mergeCell ref="A25:F25"/>
    <mergeCell ref="A24:F24"/>
  </mergeCells>
  <pageMargins left="0.7" right="0.7" top="0.75" bottom="0.75" header="0.3" footer="0.3"/>
  <pageSetup orientation="portrait" horizontalDpi="0" verticalDpi="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9"/>
  <sheetViews>
    <sheetView zoomScale="150" zoomScaleNormal="150" zoomScalePageLayoutView="90" workbookViewId="0"/>
  </sheetViews>
  <sheetFormatPr baseColWidth="10" defaultColWidth="11" defaultRowHeight="16"/>
  <cols>
    <col min="1" max="1" width="48.1640625" style="6" customWidth="1"/>
    <col min="3" max="3" width="20.6640625" customWidth="1"/>
    <col min="4" max="4" width="19.1640625" customWidth="1"/>
    <col min="5" max="5" width="16.5" customWidth="1"/>
    <col min="6" max="6" width="16.83203125" customWidth="1"/>
    <col min="7" max="7" width="16.1640625" customWidth="1"/>
  </cols>
  <sheetData>
    <row r="1" spans="1:7">
      <c r="A1" s="64"/>
      <c r="B1" s="80" t="s">
        <v>58</v>
      </c>
      <c r="C1" s="80"/>
      <c r="D1" s="80"/>
      <c r="E1" s="80"/>
      <c r="F1" s="80"/>
      <c r="G1" s="62" t="s">
        <v>59</v>
      </c>
    </row>
    <row r="2" spans="1:7">
      <c r="A2" s="41"/>
      <c r="B2" s="42" t="s">
        <v>51</v>
      </c>
      <c r="C2" s="43" t="s">
        <v>52</v>
      </c>
      <c r="D2" s="43" t="s">
        <v>53</v>
      </c>
      <c r="E2" s="42" t="s">
        <v>54</v>
      </c>
      <c r="F2" s="42" t="s">
        <v>55</v>
      </c>
      <c r="G2" s="42"/>
    </row>
    <row r="3" spans="1:7">
      <c r="A3" s="43" t="s">
        <v>28</v>
      </c>
      <c r="B3" s="44">
        <f>Assumptions!B15</f>
        <v>3.1E-2</v>
      </c>
      <c r="C3" s="44">
        <f>Assumptions!C15</f>
        <v>3.1E-2</v>
      </c>
      <c r="D3" s="44">
        <f>Assumptions!D15</f>
        <v>1.4999999999999999E-2</v>
      </c>
      <c r="E3" s="44">
        <f>Assumptions!E15</f>
        <v>1.4999999999999999E-2</v>
      </c>
      <c r="F3" s="44">
        <f>Assumptions!F15</f>
        <v>1.4999999999999999E-2</v>
      </c>
      <c r="G3" s="44">
        <f>Assumptions!G15</f>
        <v>1.4999999999999999E-2</v>
      </c>
    </row>
    <row r="4" spans="1:7">
      <c r="A4" s="43" t="s">
        <v>34</v>
      </c>
      <c r="B4" s="45">
        <v>0.4</v>
      </c>
      <c r="C4" s="45">
        <v>0.4</v>
      </c>
      <c r="D4" s="45">
        <v>0.5</v>
      </c>
      <c r="E4" s="45">
        <v>0.5</v>
      </c>
      <c r="F4" s="45">
        <v>0.5</v>
      </c>
      <c r="G4" s="45">
        <v>0.75</v>
      </c>
    </row>
    <row r="5" spans="1:7" ht="18">
      <c r="A5" s="43" t="s">
        <v>38</v>
      </c>
      <c r="B5" s="46">
        <f>B4*Assumptions!B$4</f>
        <v>0.36000000000000004</v>
      </c>
      <c r="C5" s="46">
        <f>C4*Assumptions!C$4</f>
        <v>0.36000000000000004</v>
      </c>
      <c r="D5" s="46">
        <f>D4*Assumptions!D$4</f>
        <v>0.45</v>
      </c>
      <c r="E5" s="46">
        <f>E4*Assumptions!E$4</f>
        <v>0.45</v>
      </c>
      <c r="F5" s="46">
        <f>F4*Assumptions!F$4</f>
        <v>0.45</v>
      </c>
      <c r="G5" s="46">
        <f>G4*Assumptions!G$4</f>
        <v>0.67500000000000004</v>
      </c>
    </row>
    <row r="6" spans="1:7">
      <c r="A6" s="43" t="s">
        <v>35</v>
      </c>
      <c r="B6" s="67" t="s">
        <v>30</v>
      </c>
      <c r="C6" s="67" t="s">
        <v>30</v>
      </c>
      <c r="D6" s="46">
        <v>0.3</v>
      </c>
      <c r="E6" s="46">
        <v>0.3</v>
      </c>
      <c r="F6" s="46">
        <v>0.3</v>
      </c>
      <c r="G6" s="78">
        <f>MIN(MAX(1-G4,0.4),0.75)</f>
        <v>0.4</v>
      </c>
    </row>
    <row r="7" spans="1:7">
      <c r="A7" s="43" t="s">
        <v>36</v>
      </c>
      <c r="B7" s="68" t="s">
        <v>30</v>
      </c>
      <c r="C7" s="45" t="str">
        <f>C6</f>
        <v>N/A</v>
      </c>
      <c r="D7" s="45">
        <f>D6</f>
        <v>0.3</v>
      </c>
      <c r="E7" s="45">
        <f>E6</f>
        <v>0.3</v>
      </c>
      <c r="F7" s="45">
        <f>F6</f>
        <v>0.3</v>
      </c>
      <c r="G7" s="78">
        <f>MIN(MAX(1-G5,0.4),0.75)</f>
        <v>0.4</v>
      </c>
    </row>
    <row r="8" spans="1:7">
      <c r="A8" s="43" t="s">
        <v>60</v>
      </c>
      <c r="B8" s="45" t="str">
        <f>Assumptions!B20</f>
        <v>N/A</v>
      </c>
      <c r="C8" s="45" t="str">
        <f>Assumptions!C20</f>
        <v>N/A</v>
      </c>
      <c r="D8" s="44">
        <f>Assumptions!D20</f>
        <v>7.1111111111111115E-3</v>
      </c>
      <c r="E8" s="44">
        <f>Assumptions!E20</f>
        <v>1.7777777777777778E-2</v>
      </c>
      <c r="F8" s="44">
        <f>Assumptions!F20</f>
        <v>0.04</v>
      </c>
      <c r="G8" s="46">
        <f>Assumptions!G20</f>
        <v>0.15</v>
      </c>
    </row>
    <row r="9" spans="1:7">
      <c r="A9" s="43" t="s">
        <v>61</v>
      </c>
      <c r="B9" s="45">
        <v>0.1</v>
      </c>
      <c r="C9" s="45">
        <v>0.1</v>
      </c>
      <c r="D9" s="45">
        <v>0.1</v>
      </c>
      <c r="E9" s="45">
        <v>0.1</v>
      </c>
      <c r="F9" s="45">
        <v>0.1</v>
      </c>
      <c r="G9" s="45">
        <v>0.2</v>
      </c>
    </row>
    <row r="10" spans="1:7" ht="12" customHeight="1">
      <c r="A10" s="81"/>
      <c r="B10" s="82"/>
      <c r="C10" s="82"/>
      <c r="D10" s="82"/>
      <c r="E10" s="82"/>
      <c r="F10" s="82"/>
      <c r="G10" s="83"/>
    </row>
    <row r="11" spans="1:7">
      <c r="A11" s="43" t="s">
        <v>26</v>
      </c>
      <c r="B11" s="87" t="s">
        <v>31</v>
      </c>
      <c r="C11" s="88"/>
      <c r="D11" s="88"/>
      <c r="E11" s="88"/>
      <c r="F11" s="88"/>
      <c r="G11" s="89"/>
    </row>
    <row r="12" spans="1:7" ht="18">
      <c r="A12" s="43" t="s">
        <v>39</v>
      </c>
      <c r="B12" s="47">
        <f>IFERROR(-B8*Assumptions!B$3*Assumptions!B$6, 0)</f>
        <v>0</v>
      </c>
      <c r="C12" s="47">
        <f>IFERROR(-C8*Assumptions!C$3*Assumptions!C$6, 0)</f>
        <v>0</v>
      </c>
      <c r="D12" s="47">
        <f>IFERROR(-D8*Assumptions!D$3*Assumptions!D$6, 0)</f>
        <v>-800000.00000000012</v>
      </c>
      <c r="E12" s="47">
        <f>IFERROR(-E8*Assumptions!E$3*Assumptions!E$6, 0)</f>
        <v>-2000000</v>
      </c>
      <c r="F12" s="47">
        <f>IFERROR(-F8*Assumptions!F$3*Assumptions!F$6, 0)</f>
        <v>-4500000</v>
      </c>
      <c r="G12" s="47">
        <f>IFERROR(-G8*Assumptions!G$3*Assumptions!G$6, 0)</f>
        <v>-16875000</v>
      </c>
    </row>
    <row r="13" spans="1:7">
      <c r="A13" s="48">
        <v>-0.1</v>
      </c>
      <c r="B13" s="47">
        <f>IFERROR(MAX(IF(Results!$A13&lt;=-Results!B$3,Results!$A13*Assumptions!B$3,0)*B$7*Assumptions!B$6,B$12), 0)</f>
        <v>0</v>
      </c>
      <c r="C13" s="47">
        <f>IFERROR(MAX(IF(Results!$A13&lt;=-Results!C$3,Results!$A13*Assumptions!C$3,0)*C$7*Assumptions!C$6,C$12), 0)</f>
        <v>0</v>
      </c>
      <c r="D13" s="47">
        <f>MAX(IF(Results!$A13&lt;=-Results!D$3,Results!$A13*Assumptions!D$3,0)*D$7*Assumptions!D$6,D$12)</f>
        <v>-800000.00000000012</v>
      </c>
      <c r="E13" s="47">
        <f>MAX(IF(Results!$A13&lt;=-Results!E$3,Results!$A13*Assumptions!E$3,0)*E$7*Assumptions!E$6,E$12)</f>
        <v>-2000000</v>
      </c>
      <c r="F13" s="47">
        <f>MAX(IF(Results!$A13&lt;=-Results!F$3,Results!$A13*Assumptions!F$3,0)*F$7*Assumptions!F$6,F$12)</f>
        <v>-3375000</v>
      </c>
      <c r="G13" s="47">
        <f>MAX(IF(Results!$A13&lt;=-Results!G$3,Results!$A13*Assumptions!G$3,0)*G$7*Assumptions!G$6,G$12)</f>
        <v>-4500000</v>
      </c>
    </row>
    <row r="14" spans="1:7">
      <c r="A14" s="48">
        <f>A13+0.02</f>
        <v>-0.08</v>
      </c>
      <c r="B14" s="47">
        <f>IFERROR(MAX(IF(Results!$A14&lt;=-Results!B$3,Results!$A14*Assumptions!B$3,0)*B$7*Assumptions!B$6,B$12), 0)</f>
        <v>0</v>
      </c>
      <c r="C14" s="47">
        <f>IFERROR(MAX(IF(Results!$A14&lt;=-Results!C$3,Results!$A14*Assumptions!C$3,0)*C$7*Assumptions!C$6,C$12), 0)</f>
        <v>0</v>
      </c>
      <c r="D14" s="47">
        <f>MAX(IF(Results!$A14&lt;=-Results!D$3,Results!$A14*Assumptions!D$3,0)*D$7*Assumptions!D$6,D$12)</f>
        <v>-800000.00000000012</v>
      </c>
      <c r="E14" s="47">
        <f>MAX(IF(Results!$A14&lt;=-Results!E$3,Results!$A14*Assumptions!E$3,0)*E$7*Assumptions!E$6,E$12)</f>
        <v>-2000000</v>
      </c>
      <c r="F14" s="47">
        <f>MAX(IF(Results!$A14&lt;=-Results!F$3,Results!$A14*Assumptions!F$3,0)*F$7*Assumptions!F$6,F$12)</f>
        <v>-2700000</v>
      </c>
      <c r="G14" s="47">
        <f>MAX(IF(Results!$A14&lt;=-Results!G$3,Results!$A14*Assumptions!G$3,0)*G$7*Assumptions!G$6,G$12)</f>
        <v>-3600000</v>
      </c>
    </row>
    <row r="15" spans="1:7">
      <c r="A15" s="48">
        <f t="shared" ref="A15:A24" si="0">A14+0.02</f>
        <v>-0.06</v>
      </c>
      <c r="B15" s="47">
        <f>IFERROR(MAX(IF(Results!$A15&lt;=-Results!B$3,Results!$A15*Assumptions!B$3,0)*B$7*Assumptions!B$6,B$12), 0)</f>
        <v>0</v>
      </c>
      <c r="C15" s="47">
        <f>IFERROR(MAX(IF(Results!$A15&lt;=-Results!C$3,Results!$A15*Assumptions!C$3,0)*C$7*Assumptions!C$6,C$12), 0)</f>
        <v>0</v>
      </c>
      <c r="D15" s="47">
        <f>MAX(IF(Results!$A15&lt;=-Results!D$3,Results!$A15*Assumptions!D$3,0)*D$7*Assumptions!D$6,D$12)</f>
        <v>-800000.00000000012</v>
      </c>
      <c r="E15" s="47">
        <f>MAX(IF(Results!$A15&lt;=-Results!E$3,Results!$A15*Assumptions!E$3,0)*E$7*Assumptions!E$6,E$12)</f>
        <v>-2000000</v>
      </c>
      <c r="F15" s="47">
        <f>MAX(IF(Results!$A15&lt;=-Results!F$3,Results!$A15*Assumptions!F$3,0)*F$7*Assumptions!F$6,F$12)</f>
        <v>-2025000</v>
      </c>
      <c r="G15" s="47">
        <f>MAX(IF(Results!$A15&lt;=-Results!G$3,Results!$A15*Assumptions!G$3,0)*G$7*Assumptions!G$6,G$12)</f>
        <v>-2700000</v>
      </c>
    </row>
    <row r="16" spans="1:7">
      <c r="A16" s="48">
        <f t="shared" si="0"/>
        <v>-3.9999999999999994E-2</v>
      </c>
      <c r="B16" s="47">
        <f>IFERROR(MAX(IF(Results!$A16&lt;=-Results!B$3,Results!$A16*Assumptions!B$3,0)*B$7*Assumptions!B$6,B$12), 0)</f>
        <v>0</v>
      </c>
      <c r="C16" s="47">
        <f>IFERROR(MAX(IF(Results!$A16&lt;=-Results!C$3,Results!$A16*Assumptions!C$3,0)*C$7*Assumptions!C$6,C$12), 0)</f>
        <v>0</v>
      </c>
      <c r="D16" s="47">
        <f>MAX(IF(Results!$A16&lt;=-Results!D$3,Results!$A16*Assumptions!D$3,0)*D$7*Assumptions!D$6,D$12)</f>
        <v>-800000.00000000012</v>
      </c>
      <c r="E16" s="47">
        <f>MAX(IF(Results!$A16&lt;=-Results!E$3,Results!$A16*Assumptions!E$3,0)*E$7*Assumptions!E$6,E$12)</f>
        <v>-1349999.9999999998</v>
      </c>
      <c r="F16" s="47">
        <f>MAX(IF(Results!$A16&lt;=-Results!F$3,Results!$A16*Assumptions!F$3,0)*F$7*Assumptions!F$6,F$12)</f>
        <v>-1349999.9999999998</v>
      </c>
      <c r="G16" s="47">
        <f>MAX(IF(Results!$A16&lt;=-Results!G$3,Results!$A16*Assumptions!G$3,0)*G$7*Assumptions!G$6,G$12)</f>
        <v>-1800000</v>
      </c>
    </row>
    <row r="17" spans="1:7">
      <c r="A17" s="48">
        <f t="shared" si="0"/>
        <v>-1.9999999999999993E-2</v>
      </c>
      <c r="B17" s="47">
        <f>IFERROR(MAX(IF(Results!$A17&lt;=-Results!B$3,Results!$A17*Assumptions!B$3,0)*B$7*Assumptions!B$6,B$12), 0)</f>
        <v>0</v>
      </c>
      <c r="C17" s="47">
        <f>IFERROR(MAX(IF(Results!$A17&lt;=-Results!C$3,Results!$A17*Assumptions!C$3,0)*C$7*Assumptions!C$6,C$12), 0)</f>
        <v>0</v>
      </c>
      <c r="D17" s="47">
        <f>MAX(IF(Results!$A17&lt;=-Results!D$3,Results!$A17*Assumptions!D$3,0)*D$7*Assumptions!D$6,D$12)</f>
        <v>-674999.99999999977</v>
      </c>
      <c r="E17" s="47">
        <f>MAX(IF(Results!$A17&lt;=-Results!E$3,Results!$A17*Assumptions!E$3,0)*E$7*Assumptions!E$6,E$12)</f>
        <v>-674999.99999999977</v>
      </c>
      <c r="F17" s="47">
        <f>MAX(IF(Results!$A17&lt;=-Results!F$3,Results!$A17*Assumptions!F$3,0)*F$7*Assumptions!F$6,F$12)</f>
        <v>-674999.99999999977</v>
      </c>
      <c r="G17" s="47">
        <f>MAX(IF(Results!$A17&lt;=-Results!G$3,Results!$A17*Assumptions!G$3,0)*G$7*Assumptions!G$6,G$12)</f>
        <v>-899999.99999999977</v>
      </c>
    </row>
    <row r="18" spans="1:7">
      <c r="A18" s="48">
        <v>-0.01</v>
      </c>
      <c r="B18" s="47">
        <f>IFERROR(MAX(IF(Results!$A18&lt;=-Results!B$3,Results!$A18*Assumptions!B$3,0)*B$7*Assumptions!B$6,B$12), 0)</f>
        <v>0</v>
      </c>
      <c r="C18" s="47">
        <f>IFERROR(MAX(IF(Results!$A18&lt;=-Results!C$3,Results!$A18*Assumptions!C$3,0)*C$7*Assumptions!C$6,C$12), 0)</f>
        <v>0</v>
      </c>
      <c r="D18" s="47">
        <f>MAX(IF(Results!$A18&lt;=-Results!D$3,Results!$A18*Assumptions!D$3,0)*D$7*Assumptions!D$6,D$12)</f>
        <v>0</v>
      </c>
      <c r="E18" s="47">
        <f>MAX(IF(Results!$A18&lt;=-Results!E$3,Results!$A18*Assumptions!E$3,0)*E$7*Assumptions!E$6,E$12)</f>
        <v>0</v>
      </c>
      <c r="F18" s="47">
        <f>MAX(IF(Results!$A18&lt;=-Results!F$3,Results!$A18*Assumptions!F$3,0)*F$7*Assumptions!F$6,F$12)</f>
        <v>0</v>
      </c>
      <c r="G18" s="47">
        <f>MAX(IF(Results!$A18&lt;=-Results!G$3,Results!$A18*Assumptions!G$3,0)*G$7*Assumptions!G$6,G$12)</f>
        <v>0</v>
      </c>
    </row>
    <row r="19" spans="1:7">
      <c r="A19" s="48">
        <f>A17+0.02</f>
        <v>0</v>
      </c>
      <c r="B19" s="47">
        <f>IFERROR(MAX(IF(Results!$A19&lt;=-Results!B$3,Results!$A19*Assumptions!B$3,0)*B$7*Assumptions!B$6,B$12), 0)</f>
        <v>0</v>
      </c>
      <c r="C19" s="47">
        <f>IFERROR(MAX(IF(Results!$A19&lt;=-Results!C$3,Results!$A19*Assumptions!C$3,0)*C$7*Assumptions!C$6,C$12), 0)</f>
        <v>0</v>
      </c>
      <c r="D19" s="47">
        <f>MAX(IF(Results!$A19&lt;=-Results!D$3,Results!$A19*Assumptions!D$3,0)*D$7*Assumptions!D$6,D$12)</f>
        <v>0</v>
      </c>
      <c r="E19" s="47">
        <f>MAX(IF(Results!$A19&lt;=-Results!E$3,Results!$A19*Assumptions!E$3,0)*E$7*Assumptions!E$6,E$12)</f>
        <v>0</v>
      </c>
      <c r="F19" s="47">
        <f>MAX(IF(Results!$A19&lt;=-Results!F$3,Results!$A19*Assumptions!F$3,0)*F$7*Assumptions!F$6,F$12)</f>
        <v>0</v>
      </c>
      <c r="G19" s="47">
        <f>MAX(IF(Results!$A19&lt;=-Results!G$3,Results!$A19*Assumptions!G$3,0)*G$7*Assumptions!G$6,G$12)</f>
        <v>0</v>
      </c>
    </row>
    <row r="20" spans="1:7">
      <c r="A20" s="48">
        <v>0.01</v>
      </c>
      <c r="B20" s="47">
        <f>MIN(IF(Results!$A20&gt;=Results!B$3,Results!$A20*Assumptions!B$3,0)*B$5*Assumptions!B$6*(1-Assumptions!B$21),B$26)</f>
        <v>0</v>
      </c>
      <c r="C20" s="47">
        <f>MIN(IF(Results!$A20&gt;=Results!C$3,Results!$A20*Assumptions!C$3,0)*C$5*Assumptions!C$6*(1-Assumptions!C$21),C$26)</f>
        <v>0</v>
      </c>
      <c r="D20" s="47">
        <f>MIN(IF(Results!$A20&gt;=Results!D$3,Results!$A20*Assumptions!D$3,0)*D$5*Assumptions!D$6*(1-Assumptions!D$21),D$26)</f>
        <v>0</v>
      </c>
      <c r="E20" s="47">
        <f>MIN(IF(Results!$A20&gt;=Results!E$3,Results!$A20*Assumptions!E$3,0)*E$5*Assumptions!E$6*(1-Assumptions!E$21),E$26)</f>
        <v>0</v>
      </c>
      <c r="F20" s="47">
        <f>MIN(IF(Results!$A20&gt;=Results!F$3,Results!$A20*Assumptions!F$3,0)*F$5*Assumptions!F$6*(1-Assumptions!F$21),F$26)</f>
        <v>0</v>
      </c>
      <c r="G20" s="47">
        <f>MIN(IF(Results!$A20&gt;=Results!G$3,Results!$A20*Assumptions!G$3,0)*G$5*Assumptions!G$6*(1-Assumptions!G$21),G$26)</f>
        <v>0</v>
      </c>
    </row>
    <row r="21" spans="1:7">
      <c r="A21" s="48">
        <f>A19+0.02</f>
        <v>0.02</v>
      </c>
      <c r="B21" s="47">
        <f>MIN(IF(Results!$A21&gt;=Results!B$3,Results!$A21*Assumptions!B$3,0)*B$5*Assumptions!B$6*(1-Assumptions!B$21),B$26)</f>
        <v>0</v>
      </c>
      <c r="C21" s="47">
        <f>MIN(IF(Results!$A21&gt;=Results!C$3,Results!$A21*Assumptions!C$3,0)*C$5*Assumptions!C$6*(1-Assumptions!C$21),C$26)</f>
        <v>0</v>
      </c>
      <c r="D21" s="47">
        <f>MIN(IF(Results!$A21&gt;=Results!D$3,Results!$A21*Assumptions!D$3,0)*D$5*Assumptions!D$6*(1-Assumptions!D$21),D$26)</f>
        <v>992250</v>
      </c>
      <c r="E21" s="47">
        <f>MIN(IF(Results!$A21&gt;=Results!E$3,Results!$A21*Assumptions!E$3,0)*E$5*Assumptions!E$6*(1-Assumptions!E$21),E$26)</f>
        <v>992250</v>
      </c>
      <c r="F21" s="47">
        <f>MIN(IF(Results!$A21&gt;=Results!F$3,Results!$A21*Assumptions!F$3,0)*F$5*Assumptions!F$6*(1-Assumptions!F$21),F$26)</f>
        <v>992250</v>
      </c>
      <c r="G21" s="47">
        <f>MIN(IF(Results!$A21&gt;=Results!G$3,Results!$A21*Assumptions!G$3,0)*G$5*Assumptions!G$6*(1-Assumptions!G$21),G$26)</f>
        <v>1488375</v>
      </c>
    </row>
    <row r="22" spans="1:7">
      <c r="A22" s="48">
        <f t="shared" si="0"/>
        <v>0.04</v>
      </c>
      <c r="B22" s="47">
        <f>MIN(IF(Results!$A22&gt;=Results!B$3,Results!$A22*Assumptions!B$3,0)*B$5*Assumptions!B$6*(1-Assumptions!B$21),B$26)</f>
        <v>1587600.0000000002</v>
      </c>
      <c r="C22" s="47">
        <f>MIN(IF(Results!$A22&gt;=Results!C$3,Results!$A22*Assumptions!C$3,0)*C$5*Assumptions!C$6*(1-Assumptions!C$21),C$26)</f>
        <v>1587600.0000000002</v>
      </c>
      <c r="D22" s="47">
        <f>MIN(IF(Results!$A22&gt;=Results!D$3,Results!$A22*Assumptions!D$3,0)*D$5*Assumptions!D$6*(1-Assumptions!D$21),D$26)</f>
        <v>1984500</v>
      </c>
      <c r="E22" s="47">
        <f>MIN(IF(Results!$A22&gt;=Results!E$3,Results!$A22*Assumptions!E$3,0)*E$5*Assumptions!E$6*(1-Assumptions!E$21),E$26)</f>
        <v>1984500</v>
      </c>
      <c r="F22" s="47">
        <f>MIN(IF(Results!$A22&gt;=Results!F$3,Results!$A22*Assumptions!F$3,0)*F$5*Assumptions!F$6*(1-Assumptions!F$21),F$26)</f>
        <v>1984500</v>
      </c>
      <c r="G22" s="47">
        <f>MIN(IF(Results!$A22&gt;=Results!G$3,Results!$A22*Assumptions!G$3,0)*G$5*Assumptions!G$6*(1-Assumptions!G$21),G$26)</f>
        <v>2976750</v>
      </c>
    </row>
    <row r="23" spans="1:7">
      <c r="A23" s="48">
        <f t="shared" si="0"/>
        <v>0.06</v>
      </c>
      <c r="B23" s="47">
        <f>MIN(IF(Results!$A23&gt;=Results!B$3,Results!$A23*Assumptions!B$3,0)*B$5*Assumptions!B$6*(1-Assumptions!B$21),B$26)</f>
        <v>2381400.0000000005</v>
      </c>
      <c r="C23" s="47">
        <f>MIN(IF(Results!$A23&gt;=Results!C$3,Results!$A23*Assumptions!C$3,0)*C$5*Assumptions!C$6*(1-Assumptions!C$21),C$26)</f>
        <v>2381400.0000000005</v>
      </c>
      <c r="D23" s="47">
        <f>MIN(IF(Results!$A23&gt;=Results!D$3,Results!$A23*Assumptions!D$3,0)*D$5*Assumptions!D$6*(1-Assumptions!D$21),D$26)</f>
        <v>2976750</v>
      </c>
      <c r="E23" s="47">
        <f>MIN(IF(Results!$A23&gt;=Results!E$3,Results!$A23*Assumptions!E$3,0)*E$5*Assumptions!E$6*(1-Assumptions!E$21),E$26)</f>
        <v>2976750</v>
      </c>
      <c r="F23" s="47">
        <f>MIN(IF(Results!$A23&gt;=Results!F$3,Results!$A23*Assumptions!F$3,0)*F$5*Assumptions!F$6*(1-Assumptions!F$21),F$26)</f>
        <v>2976750</v>
      </c>
      <c r="G23" s="47">
        <f>MIN(IF(Results!$A23&gt;=Results!G$3,Results!$A23*Assumptions!G$3,0)*G$5*Assumptions!G$6*(1-Assumptions!G$21),G$26)</f>
        <v>4465125.0000000009</v>
      </c>
    </row>
    <row r="24" spans="1:7">
      <c r="A24" s="48">
        <f t="shared" si="0"/>
        <v>0.08</v>
      </c>
      <c r="B24" s="47">
        <f>MIN(IF(Results!$A24&gt;=Results!B$3,Results!$A24*Assumptions!B$3,0)*B$5*Assumptions!B$6*(1-Assumptions!B$21),B$26)</f>
        <v>3175200.0000000005</v>
      </c>
      <c r="C24" s="47">
        <f>MIN(IF(Results!$A24&gt;=Results!C$3,Results!$A24*Assumptions!C$3,0)*C$5*Assumptions!C$6*(1-Assumptions!C$21),C$26)</f>
        <v>3175200.0000000005</v>
      </c>
      <c r="D24" s="47">
        <f>MIN(IF(Results!$A24&gt;=Results!D$3,Results!$A24*Assumptions!D$3,0)*D$5*Assumptions!D$6*(1-Assumptions!D$21),D$26)</f>
        <v>3969000</v>
      </c>
      <c r="E24" s="47">
        <f>MIN(IF(Results!$A24&gt;=Results!E$3,Results!$A24*Assumptions!E$3,0)*E$5*Assumptions!E$6*(1-Assumptions!E$21),E$26)</f>
        <v>3969000</v>
      </c>
      <c r="F24" s="47">
        <f>MIN(IF(Results!$A24&gt;=Results!F$3,Results!$A24*Assumptions!F$3,0)*F$5*Assumptions!F$6*(1-Assumptions!F$21),F$26)</f>
        <v>3969000</v>
      </c>
      <c r="G24" s="47">
        <f>MIN(IF(Results!$A24&gt;=Results!G$3,Results!$A24*Assumptions!G$3,0)*G$5*Assumptions!G$6*(1-Assumptions!G$21),G$26)</f>
        <v>5953500</v>
      </c>
    </row>
    <row r="25" spans="1:7">
      <c r="A25" s="48">
        <v>0.1</v>
      </c>
      <c r="B25" s="47">
        <f>MIN(IF(Results!$A25&gt;=Results!B$3,Results!$A25*Assumptions!B$3,0)*B$5*Assumptions!B$6*(1-Assumptions!B$21),B$26)</f>
        <v>3969000.0000000005</v>
      </c>
      <c r="C25" s="47">
        <f>MIN(IF(Results!$A25&gt;=Results!C$3,Results!$A25*Assumptions!C$3,0)*C$5*Assumptions!C$6*(1-Assumptions!C$21),C$26)</f>
        <v>3969000.0000000005</v>
      </c>
      <c r="D25" s="47">
        <f>MIN(IF(Results!$A25&gt;=Results!D$3,Results!$A25*Assumptions!D$3,0)*D$5*Assumptions!D$6*(1-Assumptions!D$21),D$26)</f>
        <v>4961250</v>
      </c>
      <c r="E25" s="47">
        <f>MIN(IF(Results!$A25&gt;=Results!E$3,Results!$A25*Assumptions!E$3,0)*E$5*Assumptions!E$6*(1-Assumptions!E$21),E$26)</f>
        <v>4961250</v>
      </c>
      <c r="F25" s="47">
        <f>MIN(IF(Results!$A25&gt;=Results!F$3,Results!$A25*Assumptions!F$3,0)*F$5*Assumptions!F$6*(1-Assumptions!F$21),F$26)</f>
        <v>4961250</v>
      </c>
      <c r="G25" s="47">
        <f>MIN(IF(Results!$A25&gt;=Results!G$3,Results!$A25*Assumptions!G$3,0)*G$5*Assumptions!G$6*(1-Assumptions!G$21),G$26)</f>
        <v>7441875</v>
      </c>
    </row>
    <row r="26" spans="1:7">
      <c r="A26" s="43" t="s">
        <v>27</v>
      </c>
      <c r="B26" s="47">
        <f>B9*Assumptions!B3*Assumptions!B6*(1-Assumptions!B$21)</f>
        <v>11025000</v>
      </c>
      <c r="C26" s="47">
        <f>C9*Assumptions!C3*Assumptions!C6*(1-Assumptions!C$21)</f>
        <v>11025000</v>
      </c>
      <c r="D26" s="47">
        <f>D9*Assumptions!D3*Assumptions!D6*(1-Assumptions!D$21)</f>
        <v>11025000</v>
      </c>
      <c r="E26" s="47">
        <f>E9*Assumptions!E3*Assumptions!E6*(1-Assumptions!E$21)</f>
        <v>11025000</v>
      </c>
      <c r="F26" s="47">
        <f>F9*Assumptions!F3*Assumptions!F6*(1-Assumptions!F$21)</f>
        <v>11025000</v>
      </c>
      <c r="G26" s="47">
        <f>G9*Assumptions!G3*Assumptions!G6*(1-Assumptions!G$21)</f>
        <v>22050000</v>
      </c>
    </row>
    <row r="27" spans="1:7">
      <c r="A27" s="49"/>
      <c r="B27" s="49"/>
      <c r="C27" s="49"/>
      <c r="D27" s="49"/>
      <c r="E27" s="49"/>
      <c r="F27" s="49"/>
    </row>
    <row r="28" spans="1:7">
      <c r="A28" s="85" t="s">
        <v>49</v>
      </c>
      <c r="B28" s="84"/>
      <c r="C28" s="84"/>
      <c r="D28" s="84"/>
      <c r="E28" s="84"/>
      <c r="F28" s="84"/>
    </row>
    <row r="29" spans="1:7" ht="32" customHeight="1">
      <c r="A29" s="84" t="s">
        <v>40</v>
      </c>
      <c r="B29" s="84"/>
      <c r="C29" s="84"/>
      <c r="D29" s="84"/>
      <c r="E29" s="84"/>
      <c r="F29" s="84"/>
    </row>
  </sheetData>
  <mergeCells count="5">
    <mergeCell ref="A28:F28"/>
    <mergeCell ref="A29:F29"/>
    <mergeCell ref="B1:F1"/>
    <mergeCell ref="A10:G10"/>
    <mergeCell ref="B11:G11"/>
  </mergeCells>
  <conditionalFormatting sqref="B12:G26">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G30"/>
  <sheetViews>
    <sheetView zoomScale="150" zoomScaleNormal="150" zoomScaleSheetLayoutView="115" workbookViewId="0"/>
  </sheetViews>
  <sheetFormatPr baseColWidth="10" defaultColWidth="8.83203125" defaultRowHeight="15"/>
  <cols>
    <col min="1" max="4" width="28" style="2" customWidth="1"/>
    <col min="5" max="5" width="8.83203125" style="1"/>
    <col min="6" max="6" width="16" style="1" bestFit="1" customWidth="1"/>
    <col min="7" max="7" width="22.83203125" style="1" bestFit="1" customWidth="1"/>
    <col min="8" max="16384" width="8.83203125" style="1"/>
  </cols>
  <sheetData>
    <row r="1" spans="1:7" s="4" customFormat="1" ht="16">
      <c r="A1" s="13" t="s">
        <v>17</v>
      </c>
      <c r="B1" s="14"/>
      <c r="C1" s="14"/>
      <c r="D1" s="14"/>
      <c r="E1" s="14"/>
      <c r="F1" s="14"/>
      <c r="G1" s="14"/>
    </row>
    <row r="2" spans="1:7" s="4" customFormat="1">
      <c r="A2" s="15" t="s">
        <v>16</v>
      </c>
      <c r="B2" s="14"/>
      <c r="C2" s="14"/>
      <c r="D2" s="14"/>
      <c r="E2" s="14"/>
      <c r="F2" s="14"/>
      <c r="G2" s="14"/>
    </row>
    <row r="3" spans="1:7" s="4" customFormat="1">
      <c r="A3" s="16"/>
      <c r="B3" s="14"/>
      <c r="C3" s="14"/>
      <c r="D3" s="14"/>
      <c r="E3" s="14"/>
      <c r="F3" s="14"/>
      <c r="G3" s="14"/>
    </row>
    <row r="4" spans="1:7" s="4" customFormat="1" ht="51.75" customHeight="1">
      <c r="A4" s="90" t="s">
        <v>15</v>
      </c>
      <c r="B4" s="90"/>
      <c r="C4" s="90"/>
      <c r="D4" s="90"/>
      <c r="E4" s="14"/>
      <c r="F4" s="14"/>
      <c r="G4" s="14"/>
    </row>
    <row r="5" spans="1:7" s="4" customFormat="1">
      <c r="A5" s="16"/>
      <c r="B5" s="14"/>
      <c r="C5" s="14"/>
      <c r="D5" s="14"/>
      <c r="E5" s="14"/>
      <c r="F5" s="14"/>
      <c r="G5" s="14"/>
    </row>
    <row r="6" spans="1:7" s="4" customFormat="1">
      <c r="A6" s="91" t="s">
        <v>14</v>
      </c>
      <c r="B6" s="92"/>
      <c r="C6" s="93" t="s">
        <v>13</v>
      </c>
      <c r="D6" s="92"/>
      <c r="E6" s="14"/>
      <c r="F6" s="14"/>
      <c r="G6" s="14"/>
    </row>
    <row r="7" spans="1:7" s="4" customFormat="1">
      <c r="A7" s="17" t="s">
        <v>12</v>
      </c>
      <c r="B7" s="18" t="s">
        <v>11</v>
      </c>
      <c r="C7" s="19" t="s">
        <v>12</v>
      </c>
      <c r="D7" s="70" t="s">
        <v>11</v>
      </c>
      <c r="E7" s="14"/>
      <c r="F7" s="14" t="s">
        <v>10</v>
      </c>
      <c r="G7" s="20">
        <v>5999</v>
      </c>
    </row>
    <row r="8" spans="1:7" s="4" customFormat="1">
      <c r="A8" s="69">
        <v>1</v>
      </c>
      <c r="B8" s="70">
        <v>499</v>
      </c>
      <c r="C8" s="71"/>
      <c r="D8" s="23">
        <v>0.122</v>
      </c>
      <c r="E8" s="14"/>
      <c r="F8" s="14"/>
      <c r="G8" s="20"/>
    </row>
    <row r="9" spans="1:7" s="4" customFormat="1">
      <c r="A9" s="69">
        <v>500</v>
      </c>
      <c r="B9" s="70">
        <v>999</v>
      </c>
      <c r="C9" s="74">
        <v>0.122</v>
      </c>
      <c r="D9" s="75">
        <v>8.6999999999999994E-2</v>
      </c>
      <c r="E9" s="14"/>
      <c r="F9" s="14"/>
      <c r="G9" s="20"/>
    </row>
    <row r="10" spans="1:7" s="4" customFormat="1">
      <c r="A10" s="69">
        <v>1000</v>
      </c>
      <c r="B10" s="71">
        <v>2999</v>
      </c>
      <c r="C10" s="76">
        <v>8.6999999999999994E-2</v>
      </c>
      <c r="D10" s="75">
        <v>0.05</v>
      </c>
      <c r="E10" s="14"/>
      <c r="F10" s="14"/>
      <c r="G10" s="20"/>
    </row>
    <row r="11" spans="1:7" s="4" customFormat="1">
      <c r="A11" s="21">
        <v>3000</v>
      </c>
      <c r="B11" s="22">
        <v>4999</v>
      </c>
      <c r="C11" s="72">
        <v>0.05</v>
      </c>
      <c r="D11" s="26">
        <v>3.9E-2</v>
      </c>
      <c r="E11" s="14"/>
      <c r="F11" s="14"/>
      <c r="G11" s="14"/>
    </row>
    <row r="12" spans="1:7" s="4" customFormat="1">
      <c r="A12" s="21">
        <v>5000</v>
      </c>
      <c r="B12" s="24">
        <v>5999</v>
      </c>
      <c r="C12" s="25">
        <v>3.9E-2</v>
      </c>
      <c r="D12" s="26">
        <v>3.5999999999999997E-2</v>
      </c>
      <c r="E12" s="14"/>
      <c r="F12" s="14" t="s">
        <v>9</v>
      </c>
      <c r="G12" s="27">
        <f>VLOOKUP(G7,$A$8:$A$21,1,TRUE)</f>
        <v>5000</v>
      </c>
    </row>
    <row r="13" spans="1:7" s="4" customFormat="1">
      <c r="A13" s="21">
        <v>6000</v>
      </c>
      <c r="B13" s="24">
        <v>6999</v>
      </c>
      <c r="C13" s="25">
        <v>3.5999999999999997E-2</v>
      </c>
      <c r="D13" s="26">
        <v>3.4000000000000002E-2</v>
      </c>
      <c r="E13" s="14"/>
      <c r="F13" s="14" t="s">
        <v>8</v>
      </c>
      <c r="G13" s="27">
        <f>VLOOKUP(G7,$A$8:$B$21,2,TRUE)</f>
        <v>5999</v>
      </c>
    </row>
    <row r="14" spans="1:7" s="4" customFormat="1">
      <c r="A14" s="21">
        <v>7000</v>
      </c>
      <c r="B14" s="24">
        <v>7999</v>
      </c>
      <c r="C14" s="25">
        <v>3.4000000000000002E-2</v>
      </c>
      <c r="D14" s="26">
        <v>3.2000000000000001E-2</v>
      </c>
      <c r="E14" s="14"/>
      <c r="F14" s="14" t="s">
        <v>7</v>
      </c>
      <c r="G14" s="28">
        <f>VLOOKUP(G7,$A$8:$D$21,3,TRUE)</f>
        <v>3.9E-2</v>
      </c>
    </row>
    <row r="15" spans="1:7" s="4" customFormat="1">
      <c r="A15" s="21">
        <v>8000</v>
      </c>
      <c r="B15" s="24">
        <v>8999</v>
      </c>
      <c r="C15" s="25">
        <v>3.2000000000000001E-2</v>
      </c>
      <c r="D15" s="26">
        <v>3.1E-2</v>
      </c>
      <c r="E15" s="14"/>
      <c r="F15" s="14" t="s">
        <v>6</v>
      </c>
      <c r="G15" s="28">
        <f>VLOOKUP(G7,$A$8:$D$21,4,TRUE)</f>
        <v>3.5999999999999997E-2</v>
      </c>
    </row>
    <row r="16" spans="1:7" s="4" customFormat="1">
      <c r="A16" s="21">
        <v>9000</v>
      </c>
      <c r="B16" s="24">
        <v>9999</v>
      </c>
      <c r="C16" s="25">
        <v>3.1E-2</v>
      </c>
      <c r="D16" s="26">
        <v>0.03</v>
      </c>
      <c r="E16" s="14"/>
      <c r="F16" s="14" t="s">
        <v>5</v>
      </c>
      <c r="G16" s="29">
        <f>(G7-G12)/(G13-G12)</f>
        <v>1</v>
      </c>
    </row>
    <row r="17" spans="1:7" s="4" customFormat="1">
      <c r="A17" s="21">
        <v>10000</v>
      </c>
      <c r="B17" s="24">
        <v>14999</v>
      </c>
      <c r="C17" s="25">
        <v>0.03</v>
      </c>
      <c r="D17" s="26">
        <v>2.7E-2</v>
      </c>
      <c r="E17" s="14"/>
      <c r="F17" s="14"/>
      <c r="G17" s="28"/>
    </row>
    <row r="18" spans="1:7" s="4" customFormat="1">
      <c r="A18" s="21">
        <v>15000</v>
      </c>
      <c r="B18" s="24">
        <v>19999</v>
      </c>
      <c r="C18" s="25">
        <v>2.7E-2</v>
      </c>
      <c r="D18" s="26">
        <v>2.5000000000000001E-2</v>
      </c>
      <c r="E18" s="14"/>
      <c r="F18" s="14" t="s">
        <v>4</v>
      </c>
      <c r="G18" s="30">
        <f>IF(G7&lt;500,0.122,IF(G7&gt;59999,0.02,G16*G15+(1-G16)*G14))</f>
        <v>3.5999999999999997E-2</v>
      </c>
    </row>
    <row r="19" spans="1:7" s="4" customFormat="1">
      <c r="A19" s="31">
        <v>20000</v>
      </c>
      <c r="B19" s="32">
        <v>49999</v>
      </c>
      <c r="C19" s="33">
        <v>2.5000000000000001E-2</v>
      </c>
      <c r="D19" s="34">
        <v>2.1999999999999999E-2</v>
      </c>
      <c r="E19" s="14"/>
      <c r="F19" s="27"/>
      <c r="G19" s="35"/>
    </row>
    <row r="20" spans="1:7" s="4" customFormat="1">
      <c r="A20" s="21">
        <v>50000</v>
      </c>
      <c r="B20" s="24">
        <v>59999</v>
      </c>
      <c r="C20" s="25">
        <v>2.1999999999999999E-2</v>
      </c>
      <c r="D20" s="26">
        <v>0.02</v>
      </c>
      <c r="E20" s="14"/>
      <c r="F20" s="30"/>
      <c r="G20" s="30"/>
    </row>
    <row r="21" spans="1:7" s="4" customFormat="1">
      <c r="A21" s="36">
        <v>60000</v>
      </c>
      <c r="B21" s="37" t="s">
        <v>3</v>
      </c>
      <c r="C21" s="63">
        <v>0.02</v>
      </c>
      <c r="D21" s="73">
        <v>0.02</v>
      </c>
      <c r="E21" s="14"/>
      <c r="F21" s="14"/>
      <c r="G21" s="14"/>
    </row>
    <row r="22" spans="1:7" s="4" customFormat="1">
      <c r="A22" s="38"/>
      <c r="B22" s="39"/>
      <c r="C22" s="40"/>
      <c r="D22" s="40"/>
      <c r="E22" s="14"/>
      <c r="F22" s="14"/>
      <c r="G22" s="14"/>
    </row>
    <row r="23" spans="1:7" s="4" customFormat="1" ht="66" customHeight="1">
      <c r="A23" s="90" t="s">
        <v>2</v>
      </c>
      <c r="B23" s="90"/>
      <c r="C23" s="90"/>
      <c r="D23" s="90"/>
      <c r="E23" s="14"/>
      <c r="F23" s="14"/>
      <c r="G23" s="14"/>
    </row>
    <row r="24" spans="1:7" s="4" customFormat="1" ht="14"/>
    <row r="25" spans="1:7" s="4" customFormat="1" ht="14">
      <c r="A25" s="5"/>
      <c r="B25" s="5"/>
      <c r="C25" s="5"/>
      <c r="D25" s="5"/>
    </row>
    <row r="26" spans="1:7" s="4" customFormat="1" ht="14">
      <c r="A26" s="5"/>
      <c r="B26" s="5"/>
      <c r="C26" s="5"/>
      <c r="D26" s="5"/>
    </row>
    <row r="27" spans="1:7" s="4" customFormat="1" ht="14">
      <c r="A27" s="5"/>
      <c r="B27" s="5"/>
      <c r="C27" s="5"/>
      <c r="D27" s="5"/>
    </row>
    <row r="28" spans="1:7" s="4" customFormat="1" ht="50.25" customHeight="1">
      <c r="A28" s="94" t="s">
        <v>1</v>
      </c>
      <c r="B28" s="94"/>
      <c r="C28" s="94"/>
      <c r="D28" s="94"/>
      <c r="E28" s="3"/>
    </row>
    <row r="29" spans="1:7">
      <c r="F29" s="4"/>
      <c r="G29" s="4"/>
    </row>
    <row r="30" spans="1:7">
      <c r="F30" s="3"/>
      <c r="G30" s="3"/>
    </row>
  </sheetData>
  <mergeCells count="5">
    <mergeCell ref="A4:D4"/>
    <mergeCell ref="A6:B6"/>
    <mergeCell ref="C6:D6"/>
    <mergeCell ref="A23:D23"/>
    <mergeCell ref="A28:D28"/>
  </mergeCells>
  <hyperlinks>
    <hyperlink ref="A2" location="TOC!A1" display="Table of Contents" xr:uid="{00000000-0004-0000-0300-000000000000}"/>
  </hyperlinks>
  <printOptions horizontalCentered="1" verticalCentered="1"/>
  <pageMargins left="0.7" right="0.7" top="0.75" bottom="0.75" header="0.3" footer="0.3"/>
  <pageSetup orientation="landscape" r:id="rId1"/>
  <headerFooter alignWithMargins="0"/>
  <legacyDrawingHF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Introduction</vt:lpstr>
      <vt:lpstr>Assumptions</vt:lpstr>
      <vt:lpstr>Results</vt:lpstr>
      <vt:lpstr>Assigned Beneficiary MSR-MLR</vt:lpstr>
      <vt:lpstr>MSR</vt:lpstr>
      <vt:lpstr>'Assigned Beneficiary MSR-MLR'!Print_Area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Webster</dc:creator>
  <cp:lastModifiedBy>Andrew Webster</cp:lastModifiedBy>
  <dcterms:created xsi:type="dcterms:W3CDTF">2017-10-16T14:51:19Z</dcterms:created>
  <dcterms:modified xsi:type="dcterms:W3CDTF">2019-03-13T13:14:49Z</dcterms:modified>
</cp:coreProperties>
</file>